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ΠΕ" sheetId="2" r:id="rId1"/>
    <sheet name="ΤΕ" sheetId="3" r:id="rId2"/>
    <sheet name="ΔΕ ΥΕ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843" i="1" l="1"/>
  <c r="B10236" i="1" l="1"/>
  <c r="B15454" i="1"/>
  <c r="B4609" i="1"/>
  <c r="B12590" i="1"/>
  <c r="B11731" i="1"/>
  <c r="B2851" i="1"/>
  <c r="B9000" i="1"/>
  <c r="B13093" i="1"/>
  <c r="B2361" i="1"/>
  <c r="B6293" i="1"/>
  <c r="B6621" i="1"/>
  <c r="B11872" i="1"/>
  <c r="B1140" i="1"/>
  <c r="B1865" i="1"/>
  <c r="B15680" i="1"/>
  <c r="B3633" i="1"/>
  <c r="B13096" i="1"/>
  <c r="B3566" i="1"/>
  <c r="B1059" i="1"/>
  <c r="B6657" i="1"/>
  <c r="B3031" i="1"/>
  <c r="B3749" i="1"/>
  <c r="B9732" i="1"/>
  <c r="B12286" i="1"/>
  <c r="B61" i="1"/>
  <c r="B2738" i="1"/>
  <c r="B2463" i="1"/>
  <c r="B5121" i="1"/>
  <c r="B3420" i="1"/>
  <c r="B13128" i="1"/>
  <c r="B13325" i="1"/>
  <c r="B15254" i="1"/>
  <c r="B17948" i="1"/>
  <c r="B1332" i="1"/>
  <c r="B3587" i="1"/>
  <c r="B14672" i="1"/>
  <c r="B4947" i="1"/>
  <c r="B15164" i="1"/>
  <c r="B4794" i="1"/>
  <c r="B4063" i="1"/>
  <c r="B7065" i="1"/>
  <c r="B11592" i="1"/>
  <c r="B14255" i="1"/>
  <c r="B6219" i="1"/>
  <c r="B683" i="1"/>
  <c r="B10595" i="1"/>
  <c r="B11096" i="1"/>
  <c r="B7398" i="1"/>
  <c r="B14330" i="1"/>
  <c r="B10602" i="1"/>
  <c r="B4292" i="1"/>
  <c r="B7608" i="1"/>
  <c r="B1906" i="1"/>
  <c r="B6185" i="1"/>
  <c r="B12765" i="1"/>
  <c r="B65" i="1"/>
  <c r="B3592" i="1"/>
  <c r="B12733" i="1"/>
  <c r="B15444" i="1"/>
  <c r="B4938" i="1"/>
  <c r="B966" i="1"/>
  <c r="B10432" i="1"/>
  <c r="B13957" i="1"/>
  <c r="B2213" i="1"/>
  <c r="B7735" i="1"/>
  <c r="B10423" i="1"/>
  <c r="B11881" i="1"/>
  <c r="B110" i="1"/>
  <c r="B8913" i="1"/>
  <c r="B4303" i="1"/>
  <c r="B2582" i="1"/>
  <c r="B3506" i="1"/>
  <c r="B10359" i="1"/>
  <c r="B5647" i="1"/>
  <c r="B3904" i="1"/>
  <c r="B1003" i="1"/>
  <c r="B4667" i="1"/>
  <c r="B10340" i="1"/>
  <c r="B11014" i="1"/>
  <c r="B17836" i="1"/>
  <c r="B11420" i="1"/>
  <c r="B4637" i="1"/>
  <c r="B10627" i="1"/>
  <c r="B3788" i="1"/>
  <c r="B4276" i="1"/>
  <c r="B13183" i="1"/>
  <c r="B13399" i="1"/>
  <c r="B10828" i="1"/>
  <c r="B7615" i="1"/>
  <c r="B15368" i="1"/>
  <c r="B2640" i="1"/>
  <c r="B4286" i="1"/>
  <c r="B2962" i="1"/>
  <c r="B11154" i="1"/>
  <c r="B4322" i="1"/>
  <c r="B13077" i="1"/>
  <c r="B13229" i="1"/>
  <c r="B3041" i="1"/>
  <c r="B15909" i="1"/>
  <c r="B5030" i="1"/>
  <c r="B12334" i="1"/>
  <c r="B4753" i="1"/>
  <c r="B2641" i="1"/>
  <c r="B5679" i="1"/>
  <c r="B5382" i="1"/>
  <c r="B13170" i="1"/>
  <c r="B2994" i="1"/>
  <c r="B6784" i="1"/>
  <c r="B5636" i="1"/>
  <c r="B10497" i="1"/>
  <c r="B17129" i="1"/>
  <c r="B14902" i="1"/>
  <c r="B2368" i="1"/>
  <c r="B397" i="1"/>
  <c r="B5274" i="1"/>
  <c r="B1601" i="1"/>
  <c r="B12532" i="1"/>
  <c r="B4070" i="1"/>
  <c r="B11294" i="1"/>
  <c r="B4479" i="1"/>
  <c r="B5127" i="1"/>
  <c r="B1085" i="1"/>
  <c r="B4175" i="1"/>
  <c r="B10508" i="1"/>
  <c r="B7779" i="1"/>
  <c r="B12598" i="1"/>
  <c r="B10782" i="1"/>
  <c r="B11968" i="1"/>
  <c r="B2477" i="1"/>
  <c r="B10477" i="1"/>
  <c r="B1695" i="1"/>
  <c r="B11353" i="1"/>
  <c r="B2412" i="1"/>
  <c r="B14127" i="1"/>
  <c r="B1986" i="1"/>
  <c r="B2833" i="1"/>
  <c r="B5834" i="1"/>
  <c r="B10613" i="1"/>
  <c r="B3468" i="1"/>
  <c r="B10931" i="1"/>
  <c r="B528" i="1"/>
  <c r="B14352" i="1"/>
  <c r="B5050" i="1"/>
  <c r="B15386" i="1"/>
  <c r="B2619" i="1"/>
  <c r="B13701" i="1"/>
  <c r="B4158" i="1"/>
  <c r="B10413" i="1"/>
  <c r="B4172" i="1"/>
  <c r="B10046" i="1"/>
  <c r="B6838" i="1"/>
  <c r="B4911" i="1"/>
  <c r="B3808" i="1"/>
  <c r="B2484" i="1"/>
  <c r="B14588" i="1"/>
  <c r="B104" i="1"/>
  <c r="B3743" i="1"/>
  <c r="B580" i="1"/>
  <c r="B3699" i="1"/>
  <c r="B15141" i="1"/>
  <c r="B11334" i="1"/>
  <c r="B3470" i="1"/>
  <c r="B10970" i="1"/>
  <c r="B8265" i="1"/>
  <c r="B1701" i="1"/>
  <c r="B5133" i="1"/>
  <c r="B1161" i="1"/>
  <c r="B370" i="1"/>
  <c r="B12580" i="1"/>
  <c r="B10407" i="1"/>
  <c r="B3900" i="1"/>
  <c r="B3181" i="1"/>
  <c r="B1837" i="1"/>
  <c r="B12952" i="1"/>
  <c r="B6042" i="1"/>
  <c r="B13370" i="1"/>
  <c r="B5327" i="1"/>
  <c r="B684" i="1"/>
  <c r="B12896" i="1"/>
  <c r="B4089" i="1"/>
  <c r="B11309" i="1"/>
  <c r="B12578" i="1"/>
  <c r="B12940" i="1"/>
  <c r="B4214" i="1"/>
  <c r="B6766" i="1"/>
  <c r="B10463" i="1"/>
  <c r="B7669" i="1"/>
  <c r="B11699" i="1"/>
  <c r="B14661" i="1"/>
  <c r="B7195" i="1"/>
  <c r="B11648" i="1"/>
  <c r="B10711" i="1"/>
  <c r="B6777" i="1"/>
  <c r="B12870" i="1"/>
  <c r="B1123" i="1"/>
  <c r="B1838" i="1"/>
  <c r="B8688" i="1"/>
  <c r="B11894" i="1"/>
  <c r="B13611" i="1"/>
  <c r="B1450" i="1"/>
  <c r="B11498" i="1"/>
  <c r="B5549" i="1"/>
  <c r="B8740" i="1"/>
  <c r="B3976" i="1"/>
  <c r="B4326" i="1"/>
  <c r="B1621" i="1"/>
  <c r="B361" i="1"/>
  <c r="B8294" i="1"/>
  <c r="B14041" i="1"/>
  <c r="B2761" i="1"/>
  <c r="B4252" i="1"/>
  <c r="B2606" i="1"/>
  <c r="B11410" i="1"/>
  <c r="B1716" i="1"/>
  <c r="B3443" i="1"/>
  <c r="B4694" i="1"/>
  <c r="B5941" i="1"/>
  <c r="B4615" i="1"/>
  <c r="B13313" i="1"/>
  <c r="B3214" i="1"/>
  <c r="B2762" i="1"/>
  <c r="B13114" i="1"/>
  <c r="B6279" i="1"/>
  <c r="B13729" i="1"/>
  <c r="B5824" i="1"/>
  <c r="B8218" i="1"/>
  <c r="B8128" i="1"/>
  <c r="B10003" i="1"/>
  <c r="B5825" i="1"/>
  <c r="B5847" i="1"/>
  <c r="B1977" i="1"/>
  <c r="B15363" i="1"/>
  <c r="B1428" i="1"/>
  <c r="B12593" i="1"/>
  <c r="B3546" i="1"/>
  <c r="B11958" i="1"/>
  <c r="B10274" i="1"/>
  <c r="B14326" i="1"/>
  <c r="B14490" i="1"/>
  <c r="B11508" i="1"/>
  <c r="B10690" i="1"/>
  <c r="B14" i="1"/>
  <c r="B15391" i="1"/>
  <c r="B8832" i="1"/>
  <c r="B4140" i="1"/>
  <c r="B3246" i="1"/>
  <c r="B2806" i="1"/>
  <c r="B2805" i="1"/>
  <c r="B2887" i="1"/>
  <c r="B3779" i="1"/>
  <c r="B14453" i="1"/>
  <c r="B10941" i="1"/>
  <c r="B13394" i="1"/>
  <c r="B3158" i="1"/>
  <c r="B12238" i="1"/>
  <c r="B12085" i="1"/>
  <c r="B12906" i="1"/>
  <c r="B12206" i="1"/>
  <c r="B16266" i="1"/>
  <c r="B15470" i="1"/>
  <c r="B1750" i="1"/>
  <c r="B11593" i="1"/>
  <c r="B15086" i="1"/>
  <c r="B13958" i="1"/>
  <c r="B11565" i="1"/>
  <c r="B6239" i="1"/>
  <c r="B669" i="1"/>
  <c r="B3358" i="1"/>
  <c r="B2933" i="1"/>
  <c r="B10008" i="1"/>
  <c r="B3871" i="1"/>
  <c r="B11542" i="1"/>
  <c r="B10908" i="1"/>
  <c r="B12529" i="1"/>
  <c r="B13304" i="1"/>
  <c r="B3457" i="1"/>
  <c r="B7484" i="1"/>
  <c r="B3275" i="1"/>
  <c r="B2945" i="1"/>
  <c r="B4752" i="1"/>
  <c r="B6915" i="1"/>
  <c r="B7070" i="1"/>
  <c r="B1628" i="1"/>
  <c r="B14847" i="1"/>
  <c r="B15060" i="1"/>
  <c r="B12514" i="1"/>
  <c r="B14724" i="1"/>
  <c r="B15434" i="1"/>
  <c r="B1480" i="1"/>
  <c r="B4878" i="1"/>
  <c r="B5130" i="1"/>
  <c r="B346" i="1"/>
  <c r="B9625" i="1"/>
  <c r="B12035" i="1"/>
  <c r="B7183" i="1"/>
  <c r="B2118" i="1"/>
  <c r="B3833" i="1"/>
  <c r="B2899" i="1"/>
  <c r="B14664" i="1"/>
  <c r="B11150" i="1"/>
  <c r="B8329" i="1"/>
  <c r="B700" i="1"/>
  <c r="B12705" i="1"/>
  <c r="B5076" i="1"/>
  <c r="B12419" i="1"/>
  <c r="B2616" i="1"/>
  <c r="B468" i="1"/>
  <c r="B12411" i="1"/>
  <c r="B5409" i="1"/>
  <c r="B13539" i="1"/>
  <c r="B4480" i="1"/>
  <c r="B7530" i="1"/>
  <c r="B7447" i="1"/>
  <c r="B7430" i="1"/>
  <c r="B7412" i="1"/>
  <c r="B7470" i="1"/>
  <c r="B13356" i="1"/>
  <c r="B14516" i="1"/>
  <c r="B7449" i="1"/>
  <c r="B7431" i="1"/>
  <c r="B15099" i="1"/>
  <c r="B4182" i="1"/>
  <c r="B8633" i="1"/>
  <c r="B15952" i="1"/>
  <c r="B11098" i="1"/>
  <c r="B10079" i="1"/>
  <c r="B2196" i="1"/>
  <c r="B11556" i="1"/>
  <c r="B12990" i="1"/>
  <c r="B12272" i="1"/>
  <c r="B10770" i="1"/>
  <c r="B12513" i="1"/>
  <c r="B4313" i="1"/>
  <c r="B10921" i="1"/>
  <c r="B649" i="1"/>
  <c r="B2642" i="1"/>
  <c r="B12696" i="1"/>
  <c r="B5017" i="1"/>
  <c r="B50" i="1"/>
  <c r="B9255" i="1"/>
  <c r="B12069" i="1"/>
  <c r="B902" i="1"/>
  <c r="B10453" i="1"/>
  <c r="B9222" i="1"/>
  <c r="B3043" i="1"/>
  <c r="B12927" i="1"/>
  <c r="B11940" i="1"/>
  <c r="B7659" i="1"/>
  <c r="B8030" i="1"/>
  <c r="B12568" i="1"/>
  <c r="B14077" i="1"/>
  <c r="B11297" i="1"/>
  <c r="B15452" i="1"/>
  <c r="B11134" i="1"/>
  <c r="B4555" i="1"/>
  <c r="B14111" i="1"/>
  <c r="B6868" i="1"/>
  <c r="B2913" i="1"/>
  <c r="B10821" i="1"/>
  <c r="B14043" i="1"/>
  <c r="B1551" i="1"/>
  <c r="B955" i="1"/>
  <c r="B2396" i="1"/>
  <c r="B6445" i="1"/>
  <c r="B6546" i="1"/>
  <c r="B7432" i="1"/>
  <c r="B6547" i="1"/>
  <c r="B7528" i="1"/>
  <c r="B7434" i="1"/>
  <c r="B13907" i="1"/>
  <c r="B6812" i="1"/>
  <c r="B9567" i="1"/>
  <c r="B11432" i="1"/>
  <c r="B7856" i="1"/>
  <c r="B2014" i="1"/>
  <c r="B10875" i="1"/>
  <c r="B6873" i="1"/>
  <c r="B6662" i="1"/>
  <c r="B9141" i="1"/>
  <c r="B12833" i="1"/>
  <c r="B14104" i="1"/>
  <c r="B17950" i="1"/>
  <c r="B8607" i="1"/>
  <c r="B8349" i="1"/>
  <c r="B14987" i="1"/>
  <c r="B2856" i="1"/>
  <c r="B12735" i="1"/>
  <c r="B1149" i="1"/>
  <c r="B11787" i="1"/>
  <c r="B13172" i="1"/>
  <c r="B1681" i="1"/>
  <c r="B3611" i="1"/>
  <c r="B8238" i="1"/>
  <c r="B331" i="1"/>
  <c r="B5713" i="1"/>
  <c r="B8009" i="1"/>
  <c r="B7508" i="1"/>
  <c r="B1845" i="1"/>
  <c r="B7413" i="1"/>
  <c r="B7410" i="1"/>
  <c r="B5391" i="1"/>
  <c r="B7022" i="1"/>
  <c r="B11589" i="1"/>
  <c r="B4068" i="1"/>
  <c r="B10824" i="1"/>
  <c r="B2004" i="1"/>
  <c r="B8708" i="1"/>
  <c r="B8661" i="1"/>
  <c r="B12048" i="1"/>
  <c r="B10289" i="1"/>
  <c r="B8598" i="1"/>
  <c r="B13004" i="1"/>
  <c r="B14466" i="1"/>
  <c r="B12812" i="1"/>
  <c r="B4269" i="1"/>
  <c r="B6949" i="1"/>
  <c r="B6468" i="1"/>
  <c r="B4401" i="1"/>
  <c r="B10411" i="1"/>
  <c r="B2493" i="1"/>
  <c r="B6478" i="1"/>
  <c r="B727" i="1"/>
  <c r="B14013" i="1"/>
  <c r="B3772" i="1"/>
  <c r="B17947" i="1"/>
  <c r="B3117" i="1"/>
  <c r="B1635" i="1"/>
  <c r="B841" i="1"/>
  <c r="B16917" i="1"/>
  <c r="B4151" i="1"/>
  <c r="B529" i="1"/>
  <c r="B14060" i="1"/>
  <c r="B7167" i="1"/>
  <c r="B5320" i="1"/>
  <c r="B7368" i="1"/>
  <c r="B1519" i="1"/>
  <c r="B9" i="1"/>
  <c r="B15389" i="1"/>
  <c r="B4492" i="1"/>
  <c r="B4228" i="1"/>
  <c r="B14736" i="1"/>
  <c r="B2027" i="1"/>
  <c r="B1168" i="1"/>
  <c r="B2896" i="1"/>
  <c r="B8062" i="1"/>
  <c r="B6762" i="1"/>
  <c r="B15218" i="1"/>
  <c r="B16105" i="1"/>
  <c r="B11664" i="1"/>
  <c r="B10376" i="1"/>
  <c r="B13334" i="1"/>
  <c r="B11179" i="1"/>
  <c r="B12302" i="1"/>
  <c r="B6452" i="1"/>
  <c r="B15038" i="1"/>
  <c r="B14362" i="1"/>
  <c r="B14268" i="1"/>
  <c r="B5508" i="1"/>
  <c r="B9472" i="1"/>
  <c r="B1264" i="1"/>
  <c r="B9988" i="1"/>
  <c r="B10399" i="1"/>
  <c r="B6800" i="1"/>
  <c r="B8935" i="1"/>
  <c r="B12660" i="1"/>
  <c r="B7199" i="1"/>
  <c r="B8830" i="1"/>
  <c r="B10041" i="1"/>
  <c r="B2218" i="1"/>
  <c r="B15500" i="1"/>
  <c r="B494" i="1"/>
  <c r="B12678" i="1"/>
  <c r="B6893" i="1"/>
  <c r="B13201" i="1"/>
  <c r="B12751" i="1"/>
  <c r="B12379" i="1"/>
  <c r="B10263" i="1"/>
  <c r="B7021" i="1"/>
  <c r="B9245" i="1"/>
  <c r="B2072" i="1"/>
  <c r="B2937" i="1"/>
  <c r="B8289" i="1"/>
  <c r="B6530" i="1"/>
  <c r="B15787" i="1"/>
  <c r="B4264" i="1"/>
  <c r="B6479" i="1"/>
  <c r="B9026" i="1"/>
  <c r="B11356" i="1"/>
  <c r="B13548" i="1"/>
  <c r="B7757" i="1"/>
  <c r="B5937" i="1"/>
  <c r="B13402" i="1"/>
  <c r="B13362" i="1"/>
  <c r="B15189" i="1"/>
  <c r="B1985" i="1"/>
  <c r="B5367" i="1"/>
  <c r="B13298" i="1"/>
  <c r="B2726" i="1"/>
  <c r="B12771" i="1"/>
  <c r="B14620" i="1"/>
  <c r="B12396" i="1"/>
  <c r="B6607" i="1"/>
  <c r="B10195" i="1"/>
  <c r="B15058" i="1"/>
  <c r="B6901" i="1"/>
  <c r="B12602" i="1"/>
  <c r="B14506" i="1"/>
  <c r="B10783" i="1"/>
  <c r="B8226" i="1"/>
  <c r="B10674" i="1"/>
  <c r="B7209" i="1"/>
  <c r="B3549" i="1"/>
  <c r="B1578" i="1"/>
  <c r="B1515" i="1"/>
  <c r="B8975" i="1"/>
  <c r="B3391" i="1"/>
  <c r="B3021" i="1"/>
  <c r="B14437" i="1"/>
  <c r="B13248" i="1"/>
  <c r="B13006" i="1"/>
  <c r="B8637" i="1"/>
  <c r="B5254" i="1"/>
  <c r="B3089" i="1"/>
  <c r="B2007" i="1"/>
  <c r="B2961" i="1"/>
  <c r="B13864" i="1"/>
  <c r="B13327" i="1"/>
  <c r="B10197" i="1"/>
  <c r="B16186" i="1"/>
  <c r="B6408" i="1"/>
  <c r="B13555" i="1"/>
  <c r="B4687" i="1"/>
  <c r="B11162" i="1"/>
  <c r="B10252" i="1"/>
  <c r="B13668" i="1"/>
  <c r="B3143" i="1"/>
  <c r="B7748" i="1"/>
  <c r="B248" i="1"/>
  <c r="B6578" i="1"/>
  <c r="B3687" i="1"/>
  <c r="B3745" i="1"/>
  <c r="B11344" i="1"/>
  <c r="B12474" i="1"/>
  <c r="B11718" i="1"/>
  <c r="B5341" i="1"/>
  <c r="B6045" i="1"/>
  <c r="B2271" i="1"/>
  <c r="B13237" i="1"/>
  <c r="B6557" i="1"/>
  <c r="B5096" i="1"/>
  <c r="B10484" i="1"/>
  <c r="B3188" i="1"/>
  <c r="B4403" i="1"/>
  <c r="B9485" i="1"/>
  <c r="B14792" i="1"/>
  <c r="B6187" i="1"/>
  <c r="B10681" i="1"/>
  <c r="B12984" i="1"/>
  <c r="B2959" i="1"/>
  <c r="B6852" i="1"/>
  <c r="B14290" i="1"/>
  <c r="B8" i="1"/>
  <c r="B15791" i="1"/>
  <c r="B13884" i="1"/>
  <c r="B6264" i="1"/>
  <c r="B10462" i="1"/>
  <c r="B4498" i="1"/>
  <c r="B9604" i="1"/>
  <c r="B1276" i="1"/>
  <c r="B1994" i="1"/>
  <c r="B3828" i="1"/>
  <c r="B7733" i="1"/>
  <c r="B13289" i="1"/>
  <c r="B13814" i="1"/>
  <c r="B40" i="1"/>
  <c r="B3613" i="1"/>
  <c r="B559" i="1"/>
  <c r="B13085" i="1"/>
  <c r="B3761" i="1"/>
  <c r="B2970" i="1"/>
  <c r="B2658" i="1"/>
  <c r="B7551" i="1"/>
  <c r="B7558" i="1"/>
  <c r="B7559" i="1"/>
  <c r="B7622" i="1"/>
  <c r="B7550" i="1"/>
  <c r="B7562" i="1"/>
  <c r="B2239" i="1"/>
  <c r="B7549" i="1"/>
  <c r="B7936" i="1"/>
  <c r="B12339" i="1"/>
  <c r="B2009" i="1"/>
  <c r="B10503" i="1"/>
  <c r="B6866" i="1"/>
  <c r="B16156" i="1"/>
  <c r="B7956" i="1"/>
  <c r="B7477" i="1"/>
  <c r="B12740" i="1"/>
  <c r="B12100" i="1"/>
  <c r="B3665" i="1"/>
  <c r="B2249" i="1"/>
  <c r="B5371" i="1"/>
  <c r="B7545" i="1"/>
  <c r="B126" i="1"/>
  <c r="B7546" i="1"/>
  <c r="B8055" i="1"/>
  <c r="B5467" i="1"/>
  <c r="B7916" i="1"/>
  <c r="B7548" i="1"/>
  <c r="B7561" i="1"/>
  <c r="B4891" i="1"/>
  <c r="B3912" i="1"/>
  <c r="B7778" i="1"/>
  <c r="B11090" i="1"/>
  <c r="B12636" i="1"/>
  <c r="B6136" i="1"/>
  <c r="B1558" i="1"/>
  <c r="B13698" i="1"/>
  <c r="B1674" i="1"/>
  <c r="B733" i="1"/>
  <c r="B1422" i="1"/>
  <c r="B6588" i="1"/>
  <c r="B6467" i="1"/>
  <c r="B5188" i="1"/>
  <c r="B11170" i="1"/>
  <c r="B11570" i="1"/>
  <c r="B11884" i="1"/>
  <c r="B1798" i="1"/>
  <c r="B10699" i="1"/>
  <c r="B13321" i="1"/>
  <c r="B10768" i="1"/>
  <c r="B7540" i="1"/>
  <c r="B9270" i="1"/>
  <c r="B10608" i="1"/>
  <c r="B11266" i="1"/>
  <c r="B12522" i="1"/>
  <c r="B13646" i="1"/>
  <c r="B16547" i="1"/>
  <c r="B10622" i="1"/>
  <c r="B10504" i="1"/>
  <c r="B2220" i="1"/>
  <c r="B16291" i="1"/>
  <c r="B13609" i="1"/>
  <c r="B12914" i="1"/>
  <c r="B6804" i="1"/>
  <c r="B14878" i="1"/>
  <c r="B13794" i="1"/>
  <c r="B2125" i="1"/>
  <c r="B12981" i="1"/>
  <c r="B14096" i="1"/>
  <c r="B2518" i="1"/>
  <c r="B694" i="1"/>
  <c r="B6534" i="1"/>
  <c r="B5389" i="1"/>
  <c r="B12185" i="1"/>
  <c r="B7846" i="1"/>
  <c r="B5131" i="1"/>
  <c r="B87" i="1"/>
  <c r="B962" i="1"/>
  <c r="B14250" i="1"/>
  <c r="B11608" i="1"/>
  <c r="B567" i="1"/>
  <c r="B13625" i="1"/>
  <c r="B12815" i="1"/>
  <c r="B7446" i="1"/>
  <c r="B3742" i="1"/>
  <c r="B12609" i="1"/>
  <c r="B17896" i="1"/>
  <c r="B17531" i="1"/>
  <c r="B9993" i="1"/>
  <c r="B8429" i="1"/>
  <c r="B5202" i="1"/>
  <c r="B7512" i="1"/>
  <c r="B7525" i="1"/>
  <c r="B5375" i="1"/>
  <c r="B7461" i="1"/>
  <c r="B7529" i="1"/>
  <c r="B7465" i="1"/>
  <c r="B7527" i="1"/>
  <c r="B7464" i="1"/>
  <c r="B12519" i="1"/>
  <c r="B15105" i="1"/>
  <c r="B10448" i="1"/>
  <c r="B4900" i="1"/>
  <c r="B11716" i="1"/>
  <c r="B12955" i="1"/>
  <c r="B13218" i="1"/>
  <c r="B9800" i="1"/>
  <c r="B14420" i="1"/>
  <c r="B11573" i="1"/>
  <c r="B2053" i="1"/>
  <c r="B11683" i="1"/>
  <c r="B11737" i="1"/>
  <c r="B11806" i="1"/>
  <c r="B11611" i="1"/>
  <c r="B14039" i="1"/>
  <c r="B12234" i="1"/>
  <c r="B13095" i="1"/>
  <c r="B10771" i="1"/>
  <c r="B7768" i="1"/>
  <c r="B1779" i="1"/>
  <c r="B11976" i="1"/>
  <c r="B12147" i="1"/>
  <c r="B13601" i="1"/>
  <c r="B13063" i="1"/>
  <c r="B9123" i="1"/>
  <c r="B12695" i="1"/>
  <c r="B11898" i="1"/>
  <c r="B4197" i="1"/>
  <c r="B6454" i="1"/>
  <c r="B716" i="1"/>
  <c r="B10801" i="1"/>
  <c r="B11481" i="1"/>
  <c r="B6913" i="1"/>
  <c r="B8611" i="1"/>
  <c r="B2127" i="1"/>
  <c r="B1763" i="1"/>
  <c r="B12558" i="1"/>
  <c r="B11335" i="1"/>
  <c r="B10992" i="1"/>
  <c r="B10513" i="1"/>
  <c r="B3809" i="1"/>
  <c r="B4699" i="1"/>
  <c r="B10244" i="1"/>
  <c r="B11800" i="1"/>
  <c r="B2285" i="1"/>
  <c r="B12207" i="1"/>
  <c r="B6309" i="1"/>
  <c r="B12809" i="1"/>
  <c r="B9365" i="1"/>
  <c r="B6989" i="1"/>
  <c r="B15676" i="1"/>
  <c r="B6611" i="1"/>
  <c r="B2837" i="1"/>
  <c r="B3206" i="1"/>
  <c r="B10383" i="1"/>
  <c r="B3822" i="1"/>
  <c r="B11285" i="1"/>
  <c r="B3049" i="1"/>
  <c r="B6482" i="1"/>
  <c r="B5174" i="1"/>
  <c r="B11338" i="1"/>
  <c r="B12627" i="1"/>
  <c r="B3513" i="1"/>
  <c r="B7580" i="1"/>
  <c r="B7579" i="1"/>
  <c r="B7581" i="1"/>
  <c r="B3287" i="1"/>
  <c r="B7567" i="1"/>
  <c r="B7582" i="1"/>
  <c r="B12826" i="1"/>
  <c r="B8495" i="1"/>
  <c r="B11967" i="1"/>
  <c r="B11749" i="1"/>
  <c r="B10296" i="1"/>
  <c r="B8780" i="1"/>
  <c r="B4913" i="1"/>
  <c r="B12803" i="1"/>
  <c r="B13409" i="1"/>
  <c r="B6581" i="1"/>
  <c r="B12817" i="1"/>
  <c r="B9994" i="1"/>
  <c r="B13092" i="1"/>
  <c r="B13602" i="1"/>
  <c r="B7173" i="1"/>
  <c r="B5552" i="1"/>
  <c r="B6676" i="1"/>
  <c r="B3224" i="1"/>
  <c r="B8270" i="1"/>
  <c r="B10483" i="1"/>
  <c r="B14934" i="1"/>
  <c r="B8687" i="1"/>
  <c r="B4885" i="1"/>
  <c r="B5414" i="1"/>
  <c r="B14304" i="1"/>
  <c r="B13920" i="1"/>
  <c r="B3398" i="1"/>
  <c r="B4877" i="1"/>
  <c r="B679" i="1"/>
  <c r="B11466" i="1"/>
  <c r="B13101" i="1"/>
  <c r="B5097" i="1"/>
  <c r="B11506" i="1"/>
  <c r="B8015" i="1"/>
  <c r="B7024" i="1"/>
  <c r="B13630" i="1"/>
  <c r="B689" i="1"/>
  <c r="B11886" i="1"/>
  <c r="B8045" i="1"/>
  <c r="B12786" i="1"/>
  <c r="B13779" i="1"/>
  <c r="B11694" i="1"/>
  <c r="B11644" i="1"/>
  <c r="B14800" i="1"/>
  <c r="B11790" i="1"/>
  <c r="B6362" i="1"/>
  <c r="B14122" i="1"/>
  <c r="B2955" i="1"/>
  <c r="B16345" i="1"/>
  <c r="B14520" i="1"/>
  <c r="B17296" i="1"/>
  <c r="B5427" i="1"/>
  <c r="B3154" i="1"/>
  <c r="B4525" i="1"/>
  <c r="B3027" i="1"/>
  <c r="B3368" i="1"/>
  <c r="B17252" i="1"/>
  <c r="B3476" i="1"/>
  <c r="B2109" i="1"/>
  <c r="B2162" i="1"/>
  <c r="B17115" i="1"/>
  <c r="B3922" i="1"/>
  <c r="B1880" i="1"/>
  <c r="B4170" i="1"/>
  <c r="B10371" i="1"/>
  <c r="B3915" i="1"/>
  <c r="B3984" i="1"/>
  <c r="B10223" i="1"/>
  <c r="B16569" i="1"/>
  <c r="B14876" i="1"/>
  <c r="B7915" i="1"/>
  <c r="B7426" i="1"/>
  <c r="B13200" i="1"/>
  <c r="B14305" i="1"/>
  <c r="B6265" i="1"/>
  <c r="B6899" i="1"/>
  <c r="B6997" i="1"/>
  <c r="B1477" i="1"/>
  <c r="B4727" i="1"/>
  <c r="B11796" i="1"/>
  <c r="B13337" i="1"/>
  <c r="B6619" i="1"/>
  <c r="B17379" i="1"/>
  <c r="B15398" i="1"/>
  <c r="B7009" i="1"/>
  <c r="B3183" i="1"/>
  <c r="B17935" i="1"/>
  <c r="B1167" i="1"/>
  <c r="B12779" i="1"/>
  <c r="B398" i="1"/>
  <c r="B10021" i="1"/>
  <c r="B12384" i="1"/>
  <c r="B11313" i="1"/>
  <c r="B13531" i="1"/>
  <c r="B9490" i="1"/>
  <c r="B12498" i="1"/>
  <c r="B118" i="1"/>
  <c r="B6138" i="1"/>
  <c r="B10306" i="1"/>
  <c r="B10799" i="1"/>
  <c r="B16907" i="1"/>
  <c r="B8448" i="1"/>
  <c r="B12524" i="1"/>
  <c r="B12526" i="1"/>
  <c r="B5143" i="1"/>
  <c r="B12284" i="1"/>
  <c r="B9392" i="1"/>
  <c r="B15772" i="1"/>
  <c r="B11873" i="1"/>
  <c r="B9122" i="1"/>
  <c r="B13614" i="1"/>
  <c r="B3215" i="1"/>
  <c r="B13317" i="1"/>
  <c r="B601" i="1"/>
  <c r="B1748" i="1"/>
  <c r="B6772" i="1"/>
  <c r="B12646" i="1"/>
  <c r="B10326" i="1"/>
  <c r="B10228" i="1"/>
  <c r="B1400" i="1"/>
  <c r="B4791" i="1"/>
  <c r="B1102" i="1"/>
  <c r="B4370" i="1"/>
  <c r="B6853" i="1"/>
  <c r="B7462" i="1"/>
  <c r="B7590" i="1"/>
  <c r="B13080" i="1"/>
  <c r="B2634" i="1"/>
  <c r="B330" i="1"/>
  <c r="B2519" i="1"/>
  <c r="B12403" i="1"/>
  <c r="B3732" i="1"/>
  <c r="B14150" i="1"/>
  <c r="B15655" i="1"/>
  <c r="B11171" i="1"/>
  <c r="B1191" i="1"/>
  <c r="B4298" i="1"/>
  <c r="B4033" i="1"/>
  <c r="B1331" i="1"/>
  <c r="B10813" i="1"/>
  <c r="B12341" i="1"/>
  <c r="B6204" i="1"/>
  <c r="B7149" i="1"/>
  <c r="B4738" i="1"/>
  <c r="B12925" i="1"/>
  <c r="B423" i="1"/>
  <c r="B13287" i="1"/>
  <c r="B12929" i="1"/>
  <c r="B10277" i="1"/>
  <c r="B4865" i="1"/>
  <c r="B4718" i="1"/>
  <c r="B1749" i="1"/>
  <c r="B491" i="1"/>
  <c r="B2977" i="1"/>
  <c r="B10282" i="1"/>
  <c r="B631" i="1"/>
  <c r="B1015" i="1"/>
  <c r="B4143" i="1"/>
  <c r="B242" i="1"/>
  <c r="B14097" i="1"/>
  <c r="B4814" i="1"/>
  <c r="B11045" i="1"/>
  <c r="B5667" i="1"/>
  <c r="B7664" i="1"/>
  <c r="B8010" i="1"/>
  <c r="B5843" i="1"/>
  <c r="B11485" i="1"/>
  <c r="B10952" i="1"/>
  <c r="B11050" i="1"/>
  <c r="B11042" i="1"/>
  <c r="B388" i="1"/>
  <c r="B2393" i="1"/>
  <c r="B3893" i="1"/>
  <c r="B8171" i="1"/>
  <c r="B10975" i="1"/>
  <c r="B12501" i="1"/>
  <c r="B15974" i="1"/>
  <c r="B5657" i="1"/>
  <c r="B5671" i="1"/>
  <c r="B11981" i="1"/>
  <c r="B4519" i="1"/>
  <c r="B14875" i="1"/>
  <c r="B6699" i="1"/>
  <c r="B2141" i="1"/>
  <c r="B661" i="1"/>
  <c r="B12487" i="1"/>
  <c r="B13502" i="1"/>
  <c r="B1995" i="1"/>
  <c r="B12293" i="1"/>
  <c r="B3460" i="1"/>
  <c r="B9384" i="1"/>
  <c r="B12093" i="1"/>
  <c r="B11491" i="1"/>
  <c r="B5482" i="1"/>
  <c r="B11200" i="1"/>
  <c r="B3913" i="1"/>
  <c r="B3139" i="1"/>
  <c r="B13349" i="1"/>
  <c r="B13586" i="1"/>
  <c r="B4400" i="1"/>
  <c r="B11703" i="1"/>
  <c r="B3349" i="1"/>
  <c r="B10406" i="1"/>
  <c r="B4795" i="1"/>
  <c r="B16697" i="1"/>
  <c r="B11072" i="1"/>
  <c r="B4624" i="1"/>
  <c r="B7037" i="1"/>
  <c r="B11823" i="1"/>
  <c r="B11120" i="1"/>
  <c r="B11253" i="1"/>
  <c r="B2372" i="1"/>
  <c r="B15062" i="1"/>
  <c r="B12138" i="1"/>
  <c r="B11249" i="1"/>
  <c r="B365" i="1"/>
  <c r="B11030" i="1"/>
  <c r="B16975" i="1"/>
  <c r="B12887" i="1"/>
  <c r="B1707" i="1"/>
  <c r="B11932" i="1"/>
  <c r="B948" i="1"/>
  <c r="B13256" i="1"/>
  <c r="B14925" i="1"/>
  <c r="B15965" i="1"/>
  <c r="B3252" i="1"/>
  <c r="B4980" i="1"/>
  <c r="B15090" i="1"/>
  <c r="B2774" i="1"/>
  <c r="B11888" i="1"/>
  <c r="B13995" i="1"/>
  <c r="B6470" i="1"/>
  <c r="B14006" i="1"/>
  <c r="B4702" i="1"/>
  <c r="B4949" i="1"/>
  <c r="B1636" i="1"/>
  <c r="B11672" i="1"/>
  <c r="B2145" i="1"/>
  <c r="B6713" i="1"/>
  <c r="B15937" i="1"/>
  <c r="B12087" i="1"/>
  <c r="B6017" i="1"/>
  <c r="B11063" i="1"/>
  <c r="B5951" i="1"/>
  <c r="B5956" i="1"/>
  <c r="B11008" i="1"/>
  <c r="B12115" i="1"/>
  <c r="B11844" i="1"/>
  <c r="B10999" i="1"/>
  <c r="B3105" i="1"/>
  <c r="B5263" i="1"/>
  <c r="B12721" i="1"/>
  <c r="B11837" i="1"/>
  <c r="B6900" i="1"/>
  <c r="B15918" i="1"/>
  <c r="B11742" i="1"/>
  <c r="B11665" i="1"/>
  <c r="B6661" i="1"/>
  <c r="B1020" i="1"/>
  <c r="B7089" i="1"/>
  <c r="B1566" i="1"/>
  <c r="B13259" i="1"/>
  <c r="B3493" i="1"/>
  <c r="B8144" i="1"/>
  <c r="B4696" i="1"/>
  <c r="B4545" i="1"/>
  <c r="B2184" i="1"/>
  <c r="B8140" i="1"/>
  <c r="B5148" i="1"/>
  <c r="B7379" i="1"/>
  <c r="B13030" i="1"/>
  <c r="B3075" i="1"/>
  <c r="B3960" i="1"/>
  <c r="B9797" i="1"/>
  <c r="B10800" i="1"/>
  <c r="B9161" i="1"/>
  <c r="B4154" i="1"/>
  <c r="B13721" i="1"/>
  <c r="B11245" i="1"/>
  <c r="B13568" i="1"/>
  <c r="B12229" i="1"/>
  <c r="B12191" i="1"/>
  <c r="B13978" i="1"/>
  <c r="B6259" i="1"/>
  <c r="B10339" i="1"/>
  <c r="B12774" i="1"/>
  <c r="B11398" i="1"/>
  <c r="B5321" i="1"/>
  <c r="B2297" i="1"/>
  <c r="B7086" i="1"/>
  <c r="B2389" i="1"/>
  <c r="B4971" i="1"/>
  <c r="B13208" i="1"/>
  <c r="B2187" i="1"/>
  <c r="B3169" i="1"/>
  <c r="B11523" i="1"/>
  <c r="B2750" i="1"/>
  <c r="B2313" i="1"/>
  <c r="B13330" i="1"/>
  <c r="B17995" i="1"/>
  <c r="B3454" i="1"/>
  <c r="B8624" i="1"/>
  <c r="B12122" i="1"/>
  <c r="B10609" i="1"/>
  <c r="B10634" i="1"/>
  <c r="B10618" i="1"/>
  <c r="B10616" i="1"/>
  <c r="B10978" i="1"/>
  <c r="B10973" i="1"/>
  <c r="B10643" i="1"/>
  <c r="B16474" i="1"/>
  <c r="B12415" i="1"/>
  <c r="B15011" i="1"/>
  <c r="B9587" i="1"/>
  <c r="B2878" i="1"/>
  <c r="B12129" i="1"/>
  <c r="B11423" i="1"/>
  <c r="B5340" i="1"/>
  <c r="B9164" i="1"/>
  <c r="B7568" i="1"/>
  <c r="B4803" i="1"/>
  <c r="B10969" i="1"/>
  <c r="B17904" i="1"/>
  <c r="B4045" i="1"/>
  <c r="B11012" i="1"/>
  <c r="B5175" i="1"/>
  <c r="B11750" i="1"/>
  <c r="B5643" i="1"/>
  <c r="B7050" i="1"/>
  <c r="B15333" i="1"/>
  <c r="B4830" i="1"/>
  <c r="B14989" i="1"/>
  <c r="B10416" i="1"/>
  <c r="B2527" i="1"/>
  <c r="B3437" i="1"/>
  <c r="B11450" i="1"/>
  <c r="B11935" i="1"/>
  <c r="B5753" i="1"/>
  <c r="B10794" i="1"/>
  <c r="B11035" i="1"/>
  <c r="B10965" i="1"/>
  <c r="B2537" i="1"/>
  <c r="B1156" i="1"/>
  <c r="B11305" i="1"/>
  <c r="B8848" i="1"/>
  <c r="B5058" i="1"/>
  <c r="B4905" i="1"/>
  <c r="B13163" i="1"/>
  <c r="B7588" i="1"/>
  <c r="B6898" i="1"/>
  <c r="B11479" i="1"/>
  <c r="B409" i="1"/>
  <c r="B5853" i="1"/>
  <c r="B10341" i="1"/>
  <c r="B7179" i="1"/>
  <c r="B11856" i="1"/>
  <c r="B12550" i="1"/>
  <c r="B132" i="1"/>
  <c r="B12521" i="1"/>
  <c r="B6950" i="1"/>
  <c r="B11515" i="1"/>
  <c r="B13562" i="1"/>
  <c r="B11959" i="1"/>
  <c r="B13214" i="1"/>
  <c r="B1729" i="1"/>
  <c r="B13363" i="1"/>
  <c r="B13059" i="1"/>
  <c r="B11765" i="1"/>
  <c r="B8114" i="1"/>
  <c r="B5284" i="1"/>
  <c r="B15431" i="1"/>
  <c r="B13173" i="1"/>
  <c r="B7100" i="1"/>
  <c r="B16147" i="1"/>
  <c r="B1613" i="1"/>
  <c r="B5365" i="1"/>
  <c r="B6722" i="1"/>
  <c r="B11848" i="1"/>
  <c r="B10894" i="1"/>
  <c r="B2132" i="1"/>
  <c r="B10552" i="1"/>
  <c r="B4976" i="1"/>
  <c r="B9385" i="1"/>
  <c r="B12029" i="1"/>
  <c r="B2244" i="1"/>
  <c r="B7397" i="1"/>
  <c r="B364" i="1"/>
  <c r="B7703" i="1"/>
  <c r="B5360" i="1"/>
  <c r="B16399" i="1"/>
  <c r="B15659" i="1"/>
  <c r="B12864" i="1"/>
  <c r="B6946" i="1"/>
  <c r="B12652" i="1"/>
  <c r="B4031" i="1"/>
  <c r="B5935" i="1"/>
  <c r="B4402" i="1"/>
  <c r="B13343" i="1"/>
  <c r="B3221" i="1"/>
  <c r="B2267" i="1"/>
  <c r="B11620" i="1"/>
  <c r="B4845" i="1"/>
  <c r="B11201" i="1"/>
  <c r="B1786" i="1"/>
  <c r="B11274" i="1"/>
  <c r="B2261" i="1"/>
  <c r="B5441" i="1"/>
  <c r="B2003" i="1"/>
  <c r="B6727" i="1"/>
  <c r="B11822" i="1"/>
  <c r="B11382" i="1"/>
  <c r="B2701" i="1"/>
  <c r="B7913" i="1"/>
  <c r="B273" i="1"/>
  <c r="B3748" i="1"/>
  <c r="B5624" i="1"/>
  <c r="B5616" i="1"/>
  <c r="B5578" i="1"/>
  <c r="B5555" i="1"/>
  <c r="B5526" i="1"/>
  <c r="B10357" i="1"/>
  <c r="B5437" i="1"/>
  <c r="B16774" i="1"/>
  <c r="B5535" i="1"/>
  <c r="B5561" i="1"/>
  <c r="B5627" i="1"/>
  <c r="B12782" i="1"/>
  <c r="B5569" i="1"/>
  <c r="B5575" i="1"/>
  <c r="B5527" i="1"/>
  <c r="B750" i="1"/>
  <c r="B4225" i="1"/>
  <c r="B6233" i="1"/>
  <c r="B5100" i="1"/>
  <c r="B14076" i="1"/>
  <c r="B12227" i="1"/>
  <c r="B13440" i="1"/>
  <c r="B7147" i="1"/>
  <c r="B5530" i="1"/>
  <c r="B8291" i="1"/>
  <c r="B4287" i="1"/>
  <c r="B11426" i="1"/>
  <c r="B27" i="1"/>
  <c r="B12511" i="1"/>
  <c r="B10219" i="1"/>
  <c r="B6929" i="1"/>
  <c r="B6735" i="1"/>
  <c r="B13549" i="1"/>
  <c r="B2703" i="1"/>
  <c r="B6794" i="1"/>
  <c r="B4907" i="1"/>
  <c r="B13139" i="1"/>
  <c r="B3442" i="1"/>
  <c r="B7977" i="1"/>
  <c r="B8102" i="1"/>
  <c r="B10982" i="1"/>
  <c r="B11797" i="1"/>
  <c r="B7818" i="1"/>
  <c r="B13153" i="1"/>
  <c r="B15815" i="1"/>
  <c r="B3903" i="1"/>
  <c r="B8656" i="1"/>
  <c r="B7132" i="1"/>
  <c r="B12628" i="1"/>
  <c r="B2539" i="1"/>
  <c r="B13176" i="1"/>
  <c r="B10591" i="1"/>
  <c r="B3469" i="1"/>
  <c r="B14846" i="1"/>
  <c r="B2094" i="1"/>
  <c r="B13649" i="1"/>
  <c r="B13342" i="1"/>
  <c r="B12073" i="1"/>
  <c r="B6843" i="1"/>
  <c r="B4076" i="1"/>
  <c r="B2924" i="1"/>
  <c r="B6948" i="1"/>
  <c r="B3961" i="1"/>
  <c r="B6923" i="1"/>
  <c r="B10283" i="1"/>
  <c r="B7577" i="1"/>
  <c r="B100" i="1"/>
  <c r="B2651" i="1"/>
  <c r="B1943" i="1"/>
  <c r="B3941" i="1"/>
  <c r="B2186" i="1"/>
  <c r="B12738" i="1"/>
  <c r="B11416" i="1"/>
  <c r="B7488" i="1"/>
  <c r="B4419" i="1"/>
  <c r="B33" i="1"/>
  <c r="B209" i="1"/>
  <c r="B13788" i="1"/>
  <c r="B1359" i="1"/>
  <c r="B5495" i="1"/>
  <c r="B13757" i="1"/>
  <c r="B13433" i="1"/>
  <c r="B11333" i="1"/>
  <c r="B12675" i="1"/>
  <c r="B13426" i="1"/>
  <c r="B2245" i="1"/>
  <c r="B1811" i="1"/>
  <c r="B13711" i="1"/>
  <c r="B11895" i="1"/>
  <c r="B11584" i="1"/>
  <c r="B17996" i="1"/>
  <c r="B7445" i="1"/>
  <c r="B3851" i="1"/>
  <c r="B16121" i="1"/>
  <c r="B1769" i="1"/>
  <c r="B6503" i="1"/>
  <c r="B7600" i="1"/>
  <c r="B11454" i="1"/>
  <c r="B3274" i="1"/>
  <c r="B6537" i="1"/>
  <c r="B7554" i="1"/>
  <c r="B11943" i="1"/>
  <c r="B11176" i="1"/>
  <c r="B3858" i="1"/>
  <c r="B5170" i="1"/>
  <c r="B5591" i="1"/>
  <c r="B2643" i="1"/>
  <c r="B11850" i="1"/>
  <c r="B5529" i="1"/>
  <c r="B5662" i="1"/>
  <c r="B13318" i="1"/>
  <c r="B5554" i="1"/>
  <c r="B5557" i="1"/>
  <c r="B14226" i="1"/>
  <c r="B2786" i="1"/>
  <c r="B14838" i="1"/>
  <c r="B9416" i="1"/>
  <c r="B3820" i="1"/>
  <c r="B3090" i="1"/>
  <c r="B4538" i="1"/>
  <c r="B4925" i="1"/>
  <c r="B12690" i="1"/>
  <c r="B10675" i="1"/>
  <c r="B5302" i="1"/>
  <c r="B6906" i="1"/>
  <c r="B3596" i="1"/>
  <c r="B12463" i="1"/>
  <c r="B6298" i="1"/>
  <c r="B6791" i="1"/>
  <c r="B13661" i="1"/>
  <c r="B13474" i="1"/>
  <c r="B8971" i="1"/>
  <c r="B11938" i="1"/>
  <c r="B10759" i="1"/>
  <c r="B12694" i="1"/>
  <c r="B11244" i="1"/>
  <c r="B2979" i="1"/>
  <c r="B7090" i="1"/>
  <c r="B6617" i="1"/>
  <c r="B14801" i="1"/>
  <c r="B13710" i="1"/>
  <c r="B9291" i="1"/>
  <c r="B13521" i="1"/>
  <c r="B11725" i="1"/>
  <c r="B6024" i="1"/>
  <c r="B14901" i="1"/>
  <c r="B6655" i="1"/>
  <c r="B6074" i="1"/>
  <c r="B7592" i="1"/>
  <c r="B3744" i="1"/>
  <c r="B9813" i="1"/>
  <c r="B12224" i="1"/>
  <c r="B4059" i="1"/>
  <c r="B13645" i="1"/>
  <c r="B10650" i="1"/>
  <c r="B332" i="1"/>
  <c r="B3381" i="1"/>
  <c r="B52" i="1"/>
  <c r="B12851" i="1"/>
  <c r="B13266" i="1"/>
  <c r="B13551" i="1"/>
  <c r="B12408" i="1"/>
  <c r="B5259" i="1"/>
  <c r="B3792" i="1"/>
  <c r="B12781" i="1"/>
  <c r="B6677" i="1"/>
  <c r="B5405" i="1"/>
  <c r="B11157" i="1"/>
  <c r="B11771" i="1"/>
  <c r="B5695" i="1"/>
  <c r="B11412" i="1"/>
  <c r="B4305" i="1"/>
  <c r="B16208" i="1"/>
  <c r="B10626" i="1"/>
  <c r="B11950" i="1"/>
  <c r="B10157" i="1"/>
  <c r="B13308" i="1"/>
  <c r="B9312" i="1"/>
  <c r="B13367" i="1"/>
  <c r="B14522" i="1"/>
  <c r="B15953" i="1"/>
  <c r="B12123" i="1"/>
  <c r="B297" i="1"/>
  <c r="B1536" i="1"/>
  <c r="B9430" i="1"/>
  <c r="B5185" i="1"/>
  <c r="B5072" i="1"/>
  <c r="B12215" i="1"/>
  <c r="B5307" i="1"/>
  <c r="B4692" i="1"/>
  <c r="B9256" i="1"/>
  <c r="B4261" i="1"/>
  <c r="B4705" i="1"/>
  <c r="B5146" i="1"/>
  <c r="B13251" i="1"/>
  <c r="B3461" i="1"/>
  <c r="B4290" i="1"/>
  <c r="B3467" i="1"/>
  <c r="B2737" i="1"/>
  <c r="B5171" i="1"/>
  <c r="B4144" i="1"/>
  <c r="B3731" i="1"/>
  <c r="B2106" i="1"/>
  <c r="B3806" i="1"/>
  <c r="B4873" i="1"/>
  <c r="B634" i="1"/>
  <c r="B5126" i="1"/>
  <c r="B1398" i="1"/>
  <c r="B1864" i="1"/>
  <c r="B594" i="1"/>
  <c r="B2568" i="1"/>
  <c r="B11441" i="1"/>
  <c r="B11610" i="1"/>
  <c r="B11453" i="1"/>
  <c r="B10264" i="1"/>
  <c r="B2130" i="1"/>
  <c r="B2114" i="1"/>
  <c r="B12332" i="1"/>
  <c r="B11755" i="1"/>
  <c r="B2279" i="1"/>
  <c r="B13430" i="1"/>
  <c r="B10776" i="1"/>
  <c r="B7612" i="1"/>
  <c r="B7601" i="1"/>
  <c r="B3874" i="1"/>
  <c r="B10302" i="1"/>
  <c r="B13679" i="1"/>
  <c r="B5047" i="1"/>
  <c r="B11296" i="1"/>
  <c r="B5123" i="1"/>
  <c r="B10901" i="1"/>
  <c r="B10935" i="1"/>
  <c r="B11746" i="1"/>
  <c r="B5943" i="1"/>
  <c r="B443" i="1"/>
  <c r="B2085" i="1"/>
  <c r="B2032" i="1"/>
  <c r="B4216" i="1"/>
  <c r="B16255" i="1"/>
  <c r="B3479" i="1"/>
  <c r="B11501" i="1"/>
  <c r="B12047" i="1"/>
  <c r="B4762" i="1"/>
  <c r="B1792" i="1"/>
  <c r="B2719" i="1"/>
  <c r="B13311" i="1"/>
  <c r="B5153" i="1"/>
  <c r="B13407" i="1"/>
  <c r="B5149" i="1"/>
  <c r="B12508" i="1"/>
  <c r="B10284" i="1"/>
  <c r="B11788" i="1"/>
  <c r="B884" i="1"/>
  <c r="B13188" i="1"/>
  <c r="B8479" i="1"/>
  <c r="B13496" i="1"/>
  <c r="B1207" i="1"/>
  <c r="B2174" i="1"/>
  <c r="B14656" i="1"/>
  <c r="B14764" i="1"/>
  <c r="B6659" i="1"/>
  <c r="B7544" i="1"/>
  <c r="B1869" i="1"/>
  <c r="B4196" i="1"/>
  <c r="B6589" i="1"/>
  <c r="B754" i="1"/>
  <c r="B15335" i="1"/>
  <c r="B12325" i="1"/>
  <c r="B12125" i="1"/>
  <c r="B17038" i="1"/>
  <c r="B13506" i="1"/>
  <c r="B2729" i="1"/>
  <c r="B4757" i="1"/>
  <c r="B16310" i="1"/>
  <c r="B765" i="1"/>
  <c r="B13027" i="1"/>
  <c r="B7609" i="1"/>
  <c r="B12717" i="1"/>
  <c r="B7485" i="1"/>
  <c r="B4428" i="1"/>
  <c r="B4756" i="1"/>
  <c r="B13530" i="1"/>
  <c r="B11832" i="1"/>
  <c r="B4352" i="1"/>
  <c r="B4665" i="1"/>
  <c r="B1655" i="1"/>
  <c r="B13192" i="1"/>
  <c r="B5074" i="1"/>
  <c r="B5903" i="1"/>
  <c r="B10267" i="1"/>
  <c r="B13485" i="1"/>
  <c r="B2319" i="1"/>
  <c r="B12956" i="1"/>
  <c r="B1361" i="1"/>
  <c r="B818" i="1"/>
  <c r="B11717" i="1"/>
  <c r="B2137" i="1"/>
  <c r="B11757" i="1"/>
  <c r="B1925" i="1"/>
  <c r="B12712" i="1"/>
  <c r="B2105" i="1"/>
  <c r="B644" i="1"/>
  <c r="B14316" i="1"/>
  <c r="B7516" i="1"/>
  <c r="B1562" i="1"/>
  <c r="B5929" i="1"/>
  <c r="B12103" i="1"/>
  <c r="B7010" i="1"/>
  <c r="B12872" i="1"/>
  <c r="B10380" i="1"/>
  <c r="B7266" i="1"/>
  <c r="B8370" i="1"/>
  <c r="B15725" i="1"/>
  <c r="B10887" i="1"/>
  <c r="B10525" i="1"/>
  <c r="B579" i="1"/>
  <c r="B7429" i="1"/>
  <c r="B1527" i="1"/>
  <c r="B11152" i="1"/>
  <c r="B12966" i="1"/>
  <c r="B7111" i="1"/>
  <c r="B11225" i="1"/>
  <c r="B5794" i="1"/>
  <c r="B12574" i="1"/>
  <c r="B571" i="1"/>
  <c r="B4591" i="1"/>
  <c r="B4121" i="1"/>
  <c r="B12118" i="1"/>
  <c r="B4613" i="1"/>
  <c r="B1996" i="1"/>
  <c r="B4193" i="1"/>
  <c r="B14403" i="1"/>
  <c r="B7198" i="1"/>
  <c r="B12431" i="1"/>
  <c r="B4999" i="1"/>
  <c r="B2546" i="1"/>
  <c r="B13867" i="1"/>
  <c r="B502" i="1"/>
  <c r="B5973" i="1"/>
  <c r="B4398" i="1"/>
  <c r="B3219" i="1"/>
  <c r="B2832" i="1"/>
  <c r="B16289" i="1"/>
  <c r="B4065" i="1"/>
  <c r="B12922" i="1"/>
  <c r="B6954" i="1"/>
  <c r="B4838" i="1"/>
  <c r="B4042" i="1"/>
  <c r="B3692" i="1"/>
  <c r="B11852" i="1"/>
  <c r="B5352" i="1"/>
  <c r="B4044" i="1"/>
  <c r="B12605" i="1"/>
  <c r="B13184" i="1"/>
  <c r="B10872" i="1"/>
  <c r="B10949" i="1"/>
  <c r="B14819" i="1"/>
  <c r="B3413" i="1"/>
  <c r="B16303" i="1"/>
  <c r="B4841" i="1"/>
  <c r="B2571" i="1"/>
  <c r="B12437" i="1"/>
  <c r="B10757" i="1"/>
  <c r="B17960" i="1"/>
  <c r="B7420" i="1"/>
  <c r="B1401" i="1"/>
  <c r="B3784" i="1"/>
  <c r="B13385" i="1"/>
  <c r="B4899" i="1"/>
  <c r="B11087" i="1"/>
  <c r="B13046" i="1"/>
  <c r="B9499" i="1"/>
  <c r="B13635" i="1"/>
  <c r="B8371" i="1"/>
  <c r="B3200" i="1"/>
  <c r="B11907" i="1"/>
  <c r="B16359" i="1"/>
  <c r="B437" i="1"/>
  <c r="B803" i="1"/>
  <c r="B15426" i="1"/>
  <c r="B12231" i="1"/>
  <c r="B939" i="1"/>
  <c r="B3309" i="1"/>
  <c r="B1803" i="1"/>
  <c r="B3376" i="1"/>
  <c r="B13477" i="1"/>
  <c r="B13638" i="1"/>
  <c r="B8484" i="1"/>
  <c r="B5252" i="1"/>
  <c r="B12994" i="1"/>
  <c r="B3401" i="1"/>
  <c r="B3056" i="1"/>
  <c r="B9314" i="1"/>
  <c r="B10170" i="1"/>
  <c r="B7339" i="1"/>
  <c r="B15290" i="1"/>
  <c r="B13151" i="1"/>
  <c r="B14249" i="1"/>
  <c r="B4892" i="1"/>
  <c r="B3923" i="1"/>
  <c r="B4256" i="1"/>
  <c r="B2278" i="1"/>
  <c r="B12500" i="1"/>
  <c r="B12139" i="1"/>
  <c r="B14820" i="1"/>
  <c r="B11298" i="1"/>
  <c r="B10395" i="1"/>
  <c r="B11490" i="1"/>
  <c r="B10980" i="1"/>
  <c r="B10991" i="1"/>
  <c r="B6538" i="1"/>
  <c r="B12965" i="1"/>
  <c r="B8124" i="1"/>
  <c r="B11069" i="1"/>
  <c r="B4134" i="1"/>
  <c r="B2122" i="1"/>
  <c r="B13299" i="1"/>
  <c r="B14515" i="1"/>
  <c r="B1961" i="1"/>
  <c r="B3583" i="1"/>
  <c r="B13512" i="1"/>
  <c r="B5083" i="1"/>
  <c r="B12964" i="1"/>
  <c r="B4108" i="1"/>
  <c r="B4910" i="1"/>
  <c r="B2284" i="1"/>
  <c r="B2161" i="1"/>
  <c r="B14009" i="1"/>
  <c r="B16055" i="1"/>
  <c r="B10795" i="1"/>
  <c r="B2952" i="1"/>
  <c r="B8165" i="1"/>
  <c r="B2583" i="1"/>
  <c r="B2366" i="1"/>
  <c r="B12783" i="1"/>
  <c r="B7661" i="1"/>
  <c r="B8825" i="1"/>
  <c r="B14889" i="1"/>
  <c r="B11828" i="1"/>
  <c r="B11808" i="1"/>
  <c r="B8569" i="1"/>
  <c r="B4655" i="1"/>
  <c r="B5042" i="1"/>
  <c r="B4706" i="1"/>
  <c r="B4716" i="1"/>
  <c r="B12936" i="1"/>
  <c r="B6855" i="1"/>
  <c r="B6875" i="1"/>
  <c r="B465" i="1"/>
  <c r="B2418" i="1"/>
  <c r="B14890" i="1"/>
  <c r="B16253" i="1"/>
  <c r="B2709" i="1"/>
  <c r="B697" i="1"/>
  <c r="B546" i="1"/>
  <c r="B14547" i="1"/>
  <c r="B2511" i="1"/>
  <c r="B13228" i="1"/>
  <c r="B795" i="1"/>
  <c r="B13446" i="1"/>
  <c r="B4946" i="1"/>
  <c r="B5021" i="1"/>
  <c r="B6818" i="1"/>
  <c r="B5300" i="1"/>
  <c r="B2535" i="1"/>
  <c r="B17506" i="1"/>
  <c r="B2149" i="1"/>
  <c r="B8730" i="1"/>
  <c r="B67" i="1"/>
  <c r="B3067" i="1"/>
  <c r="B4245" i="1"/>
  <c r="B7569" i="1"/>
  <c r="B14714" i="1"/>
  <c r="B13714" i="1"/>
  <c r="B15645" i="1"/>
  <c r="B7276" i="1"/>
  <c r="B910" i="1"/>
  <c r="B14747" i="1"/>
  <c r="B4811" i="1"/>
  <c r="B11351" i="1"/>
  <c r="B12564" i="1"/>
  <c r="B16442" i="1"/>
  <c r="B10763" i="1"/>
  <c r="B7509" i="1"/>
  <c r="B10745" i="1"/>
  <c r="B7863" i="1"/>
  <c r="B5491" i="1"/>
  <c r="B12933" i="1"/>
  <c r="B8179" i="1"/>
  <c r="B13499" i="1"/>
  <c r="B4869" i="1"/>
  <c r="B8068" i="1"/>
  <c r="B7400" i="1"/>
  <c r="B8127" i="1"/>
  <c r="B1313" i="1"/>
  <c r="B7323" i="1"/>
  <c r="B11902" i="1"/>
  <c r="B11670" i="1"/>
  <c r="B7756" i="1"/>
  <c r="B4207" i="1"/>
  <c r="B4465" i="1"/>
  <c r="B4102" i="1"/>
  <c r="B12233" i="1"/>
  <c r="B12884" i="1"/>
  <c r="B6691" i="1"/>
  <c r="B14993" i="1"/>
  <c r="B11753" i="1"/>
  <c r="B3846" i="1"/>
  <c r="B10870" i="1"/>
  <c r="B1078" i="1"/>
  <c r="B7631" i="1"/>
  <c r="B7348" i="1"/>
  <c r="B3249" i="1"/>
  <c r="B12761" i="1"/>
  <c r="B14976" i="1"/>
  <c r="B2785" i="1"/>
  <c r="B14315" i="1"/>
  <c r="B17914" i="1"/>
  <c r="B15975" i="1"/>
  <c r="B4162" i="1"/>
  <c r="B4790" i="1"/>
  <c r="B1512" i="1"/>
  <c r="B10179" i="1"/>
  <c r="B7799" i="1"/>
  <c r="B15616" i="1"/>
  <c r="B1505" i="1"/>
  <c r="B14015" i="1"/>
  <c r="B2060" i="1"/>
  <c r="B12553" i="1"/>
  <c r="B1545" i="1"/>
  <c r="B8506" i="1"/>
  <c r="B5078" i="1"/>
  <c r="B16084" i="1"/>
  <c r="B2558" i="1"/>
  <c r="B14324" i="1"/>
  <c r="B4493" i="1"/>
  <c r="B11789" i="1"/>
  <c r="B13013" i="1"/>
  <c r="B6471" i="1"/>
  <c r="B2433" i="1"/>
  <c r="B10758" i="1"/>
  <c r="B4906" i="1"/>
  <c r="B12706" i="1"/>
  <c r="B10644" i="1"/>
  <c r="B11988" i="1"/>
  <c r="B14612" i="1"/>
  <c r="B5406" i="1"/>
  <c r="B4805" i="1"/>
  <c r="B7072" i="1"/>
  <c r="B5314" i="1"/>
  <c r="B5218" i="1"/>
  <c r="B5205" i="1"/>
  <c r="B11236" i="1"/>
  <c r="B7001" i="1"/>
  <c r="B12600" i="1"/>
  <c r="B10551" i="1"/>
  <c r="B12557" i="1"/>
  <c r="B4448" i="1"/>
  <c r="B12005" i="1"/>
  <c r="B12676" i="1"/>
  <c r="B7375" i="1"/>
  <c r="B7503" i="1"/>
  <c r="B3472" i="1"/>
  <c r="B7927" i="1"/>
  <c r="B7455" i="1"/>
  <c r="B5086" i="1"/>
  <c r="B13487" i="1"/>
  <c r="B6186" i="1"/>
  <c r="B2816" i="1"/>
  <c r="B6979" i="1"/>
  <c r="B4410" i="1"/>
  <c r="B7835" i="1"/>
  <c r="B11636" i="1"/>
  <c r="B9854" i="1"/>
  <c r="B2138" i="1"/>
  <c r="B12303" i="1"/>
  <c r="B12560" i="1"/>
  <c r="B4275" i="1"/>
  <c r="B1724" i="1"/>
  <c r="B15557" i="1"/>
  <c r="B3884" i="1"/>
  <c r="B2044" i="1"/>
  <c r="B6038" i="1"/>
  <c r="B16196" i="1"/>
  <c r="B3918" i="1"/>
  <c r="B2766" i="1"/>
  <c r="B17040" i="1"/>
  <c r="B16181" i="1"/>
  <c r="B3673" i="1"/>
  <c r="B2886" i="1"/>
  <c r="B8266" i="1"/>
  <c r="B7531" i="1"/>
  <c r="B5119" i="1"/>
  <c r="B10904" i="1"/>
  <c r="B8132" i="1"/>
  <c r="B13749" i="1"/>
  <c r="B4029" i="1"/>
  <c r="B7572" i="1"/>
  <c r="B3434" i="1"/>
  <c r="B16034" i="1"/>
  <c r="B12397" i="1"/>
  <c r="B10112" i="1"/>
  <c r="B17945" i="1"/>
  <c r="B11219" i="1"/>
  <c r="B10713" i="1"/>
  <c r="B3156" i="1"/>
  <c r="B12061" i="1"/>
  <c r="B2194" i="1"/>
  <c r="B14919" i="1"/>
  <c r="B1914" i="1"/>
  <c r="B12541" i="1"/>
  <c r="B11547" i="1"/>
  <c r="B5433" i="1"/>
  <c r="B1584" i="1"/>
  <c r="B5364" i="1"/>
  <c r="B10945" i="1"/>
  <c r="B13226" i="1"/>
  <c r="B4091" i="1"/>
  <c r="B3691" i="1"/>
  <c r="B22" i="1"/>
  <c r="B6511" i="1"/>
  <c r="B5971" i="1"/>
  <c r="B3616" i="1"/>
  <c r="B1898" i="1"/>
  <c r="B13036" i="1"/>
  <c r="B9055" i="1"/>
  <c r="B15213" i="1"/>
  <c r="B10560" i="1"/>
  <c r="B4349" i="1"/>
  <c r="B2908" i="1"/>
  <c r="B12101" i="1"/>
  <c r="B14650" i="1"/>
  <c r="B1877" i="1"/>
  <c r="B3507" i="1"/>
  <c r="B1895" i="1"/>
  <c r="B12400" i="1"/>
  <c r="B10273" i="1"/>
  <c r="B451" i="1"/>
  <c r="B10605" i="1"/>
  <c r="B7060" i="1"/>
  <c r="B3640" i="1"/>
  <c r="B9293" i="1"/>
  <c r="B14609" i="1"/>
  <c r="B12313" i="1"/>
  <c r="B13261" i="1"/>
  <c r="B10907" i="1"/>
  <c r="B2556" i="1"/>
  <c r="B10470" i="1"/>
  <c r="B11455" i="1"/>
  <c r="B13026" i="1"/>
  <c r="B6649" i="1"/>
  <c r="B3164" i="1"/>
  <c r="B11472" i="1"/>
  <c r="B947" i="1"/>
  <c r="B11075" i="1"/>
  <c r="B16313" i="1"/>
  <c r="B11064" i="1"/>
  <c r="B1911" i="1"/>
  <c r="B15140" i="1"/>
  <c r="B4802" i="1"/>
  <c r="B15963" i="1"/>
  <c r="B8867" i="1"/>
  <c r="B16635" i="1"/>
  <c r="B13746" i="1"/>
  <c r="B6393" i="1"/>
  <c r="B11819" i="1"/>
  <c r="B10570" i="1"/>
  <c r="B2523" i="1"/>
  <c r="B11811" i="1"/>
  <c r="B9655" i="1"/>
  <c r="B6774" i="1"/>
  <c r="B13217" i="1"/>
  <c r="B12166" i="1"/>
  <c r="B3821" i="1"/>
  <c r="B12237" i="1"/>
  <c r="B13042" i="1"/>
  <c r="B4222" i="1"/>
  <c r="B3058" i="1"/>
  <c r="B3269" i="1"/>
  <c r="B16323" i="1"/>
  <c r="B3403" i="1"/>
  <c r="B14538" i="1"/>
  <c r="B16287" i="1"/>
  <c r="B15440" i="1"/>
  <c r="B11275" i="1"/>
  <c r="B10895" i="1"/>
  <c r="B15299" i="1"/>
  <c r="B5221" i="1"/>
  <c r="B8182" i="1"/>
  <c r="B15077" i="1"/>
  <c r="B11946" i="1"/>
  <c r="B14461" i="1"/>
  <c r="B11654" i="1"/>
  <c r="B3186" i="1"/>
  <c r="B13297" i="1"/>
  <c r="B5513" i="1"/>
  <c r="B3404" i="1"/>
  <c r="B12969" i="1"/>
  <c r="B14397" i="1"/>
  <c r="B4959" i="1"/>
  <c r="B12295" i="1"/>
  <c r="B3953" i="1"/>
  <c r="B9005" i="1"/>
  <c r="B9289" i="1"/>
  <c r="B15179" i="1"/>
  <c r="B3670" i="1"/>
  <c r="B2673" i="1"/>
  <c r="B3610" i="1"/>
  <c r="B16311" i="1"/>
  <c r="B12220" i="1"/>
  <c r="B2980" i="1"/>
  <c r="B16312" i="1"/>
  <c r="B10227" i="1"/>
  <c r="B5457" i="1"/>
  <c r="B10467" i="1"/>
  <c r="B16439" i="1"/>
  <c r="B11359" i="1"/>
  <c r="B10167" i="1"/>
  <c r="B9371" i="1"/>
  <c r="B9397" i="1"/>
  <c r="B9425" i="1"/>
  <c r="B7871" i="1"/>
  <c r="B10577" i="1"/>
  <c r="B9426" i="1"/>
  <c r="B10455" i="1"/>
  <c r="B1330" i="1"/>
  <c r="B4051" i="1"/>
  <c r="B3657" i="1"/>
  <c r="B6666" i="1"/>
  <c r="B4909" i="1"/>
  <c r="B5515" i="1"/>
  <c r="B12856" i="1"/>
  <c r="B1380" i="1"/>
  <c r="B11208" i="1"/>
  <c r="B12731" i="1"/>
  <c r="B14707" i="1"/>
  <c r="B12052" i="1"/>
  <c r="B11018" i="1"/>
  <c r="B10490" i="1"/>
  <c r="B14785" i="1"/>
  <c r="B9863" i="1"/>
  <c r="B3835" i="1"/>
  <c r="B10154" i="1"/>
  <c r="B8369" i="1"/>
  <c r="B10253" i="1"/>
  <c r="B11521" i="1"/>
  <c r="B5035" i="1"/>
  <c r="B5884" i="1"/>
  <c r="B14484" i="1"/>
  <c r="B3313" i="1"/>
  <c r="B14471" i="1"/>
  <c r="B12682" i="1"/>
  <c r="B8237" i="1"/>
  <c r="B938" i="1"/>
  <c r="B10636" i="1"/>
  <c r="B1919" i="1"/>
  <c r="B17762" i="1"/>
  <c r="B6636" i="1"/>
  <c r="B4679" i="1"/>
  <c r="B10740" i="1"/>
  <c r="B14059" i="1"/>
  <c r="B8412" i="1"/>
  <c r="B14509" i="1"/>
  <c r="B10561" i="1"/>
  <c r="B2743" i="1"/>
  <c r="B13636" i="1"/>
  <c r="B14594" i="1"/>
  <c r="B4106" i="1"/>
  <c r="B5684" i="1"/>
  <c r="B254" i="1"/>
  <c r="B5381" i="1"/>
  <c r="B6837" i="1"/>
  <c r="B5247" i="1"/>
  <c r="B5386" i="1"/>
  <c r="B2608" i="1"/>
  <c r="B12868" i="1"/>
  <c r="B11308" i="1"/>
  <c r="B14383" i="1"/>
  <c r="B13756" i="1"/>
  <c r="B14623" i="1"/>
  <c r="B11583" i="1"/>
  <c r="B906" i="1"/>
  <c r="B5423" i="1"/>
  <c r="B10670" i="1"/>
  <c r="B779" i="1"/>
  <c r="B3674" i="1"/>
  <c r="B10594" i="1"/>
  <c r="B16277" i="1"/>
  <c r="B356" i="1"/>
  <c r="B1818" i="1"/>
  <c r="B13113" i="1"/>
  <c r="B7964" i="1"/>
  <c r="B8747" i="1"/>
  <c r="B12595" i="1"/>
  <c r="B10430" i="1"/>
  <c r="B11987" i="1"/>
  <c r="B10499" i="1"/>
  <c r="B16284" i="1"/>
  <c r="B855" i="1"/>
  <c r="B13018" i="1"/>
  <c r="B13186" i="1"/>
  <c r="B7110" i="1"/>
  <c r="B13221" i="1"/>
  <c r="B12986" i="1"/>
  <c r="B8675" i="1"/>
  <c r="B14066" i="1"/>
  <c r="B7536" i="1"/>
  <c r="B8396" i="1"/>
  <c r="B1281" i="1"/>
  <c r="B10238" i="1"/>
  <c r="B11560" i="1"/>
  <c r="B5227" i="1"/>
  <c r="B13203" i="1"/>
  <c r="B384" i="1"/>
  <c r="B12631" i="1"/>
  <c r="B4039" i="1"/>
  <c r="B2370" i="1"/>
  <c r="B10519" i="1"/>
  <c r="B573" i="1"/>
  <c r="B13500" i="1"/>
  <c r="B7983" i="1"/>
  <c r="B11875" i="1"/>
  <c r="B5164" i="1"/>
  <c r="B8801" i="1"/>
  <c r="B3025" i="1"/>
  <c r="B3988" i="1"/>
  <c r="B3889" i="1"/>
  <c r="B1861" i="1"/>
  <c r="B6724" i="1"/>
  <c r="B13003" i="1"/>
  <c r="B4226" i="1"/>
  <c r="B4721" i="1"/>
  <c r="B3719" i="1"/>
  <c r="B13991" i="1"/>
  <c r="B7481" i="1"/>
  <c r="B3696" i="1"/>
  <c r="B6126" i="1"/>
  <c r="B12611" i="1"/>
  <c r="B2574" i="1"/>
  <c r="B9342" i="1"/>
  <c r="B1903" i="1"/>
  <c r="B11680" i="1"/>
  <c r="B1646" i="1"/>
  <c r="B4881" i="1"/>
  <c r="B14649" i="1"/>
  <c r="B14061" i="1"/>
  <c r="B4431" i="1"/>
  <c r="B9209" i="1"/>
  <c r="B5204" i="1"/>
  <c r="B10914" i="1"/>
  <c r="B16260" i="1"/>
  <c r="B13486" i="1"/>
  <c r="B12727" i="1"/>
  <c r="B3394" i="1"/>
  <c r="B5318" i="1"/>
  <c r="B449" i="1"/>
  <c r="B6137" i="1"/>
  <c r="B7946" i="1"/>
  <c r="B6163" i="1"/>
  <c r="B5813" i="1"/>
  <c r="B4581" i="1"/>
  <c r="B6998" i="1"/>
  <c r="B14173" i="1"/>
  <c r="B4301" i="1"/>
  <c r="B15255" i="1"/>
  <c r="B3983" i="1"/>
  <c r="B13401" i="1"/>
  <c r="B14340" i="1"/>
  <c r="B13515" i="1"/>
  <c r="B13786" i="1"/>
  <c r="B3942" i="1"/>
  <c r="B2553" i="1"/>
  <c r="B5044" i="1"/>
  <c r="B1782" i="1"/>
  <c r="B4884" i="1"/>
  <c r="B16037" i="1"/>
  <c r="B10336" i="1"/>
  <c r="B2883" i="1"/>
  <c r="B4979" i="1"/>
  <c r="B7770" i="1"/>
  <c r="B1494" i="1"/>
  <c r="B4755" i="1"/>
  <c r="B13014" i="1"/>
  <c r="B5056" i="1"/>
  <c r="B11743" i="1"/>
  <c r="B12787" i="1"/>
  <c r="B13572" i="1"/>
  <c r="B1970" i="1"/>
  <c r="B5864" i="1"/>
  <c r="B1337" i="1"/>
  <c r="B15197" i="1"/>
  <c r="B4617" i="1"/>
  <c r="B6674" i="1"/>
  <c r="B4452" i="1"/>
  <c r="B11292" i="1"/>
  <c r="B531" i="1"/>
  <c r="B14366" i="1"/>
  <c r="B1109" i="1"/>
  <c r="B2384" i="1"/>
  <c r="B10977" i="1"/>
  <c r="B4496" i="1"/>
  <c r="B11307" i="1"/>
  <c r="B3995" i="1"/>
  <c r="B14483" i="1"/>
  <c r="B2157" i="1"/>
  <c r="B5256" i="1"/>
  <c r="B3857" i="1"/>
  <c r="B4137" i="1"/>
  <c r="B16368" i="1"/>
  <c r="B15593" i="1"/>
  <c r="B6975" i="1"/>
  <c r="B422" i="1"/>
  <c r="B16268" i="1"/>
  <c r="B3389" i="1"/>
  <c r="B3187" i="1"/>
  <c r="B5978" i="1"/>
  <c r="B16184" i="1"/>
  <c r="B359" i="1"/>
  <c r="B4824" i="1"/>
  <c r="B14390" i="1"/>
  <c r="B5656" i="1"/>
  <c r="B8387" i="1"/>
  <c r="B1386" i="1"/>
  <c r="B3108" i="1"/>
  <c r="B5652" i="1"/>
  <c r="B8043" i="1"/>
  <c r="B3963" i="1"/>
  <c r="B13954" i="1"/>
  <c r="B4847" i="1"/>
  <c r="B6191" i="1"/>
  <c r="B12677" i="1"/>
  <c r="B4918" i="1"/>
  <c r="B4669" i="1"/>
  <c r="B11577" i="1"/>
  <c r="B2861" i="1"/>
  <c r="B4061" i="1"/>
  <c r="B3989" i="1"/>
  <c r="B7457" i="1"/>
  <c r="B11283" i="1"/>
  <c r="B3410" i="1"/>
  <c r="B13709" i="1"/>
  <c r="B4601" i="1"/>
  <c r="B12475" i="1"/>
  <c r="B12423" i="1"/>
  <c r="B10883" i="1"/>
  <c r="B13730" i="1"/>
  <c r="B6303" i="1"/>
  <c r="B2923" i="1"/>
  <c r="B7239" i="1"/>
  <c r="B15463" i="1"/>
  <c r="B3487" i="1"/>
  <c r="B14702" i="1"/>
  <c r="B14219" i="1"/>
  <c r="B10951" i="1"/>
  <c r="B2621" i="1"/>
  <c r="B7136" i="1"/>
  <c r="B5034" i="1"/>
  <c r="B15634" i="1"/>
  <c r="B10590" i="1"/>
  <c r="B12159" i="1"/>
  <c r="B11598" i="1"/>
  <c r="B11813" i="1"/>
  <c r="B15800" i="1"/>
  <c r="B4166" i="1"/>
  <c r="B1643" i="1"/>
  <c r="B4145" i="1"/>
  <c r="B5315" i="1"/>
  <c r="B10241" i="1"/>
  <c r="B3886" i="1"/>
  <c r="B4676" i="1"/>
  <c r="B15103" i="1"/>
  <c r="B15968" i="1"/>
  <c r="B3997" i="1"/>
  <c r="B4817" i="1"/>
  <c r="B9321" i="1"/>
  <c r="B11345" i="1"/>
  <c r="B2487" i="1"/>
  <c r="B9086" i="1"/>
  <c r="B2515" i="1"/>
  <c r="B4231" i="1"/>
  <c r="B5196" i="1"/>
  <c r="B13579" i="1"/>
  <c r="B3072" i="1"/>
  <c r="B2108" i="1"/>
  <c r="B5290" i="1"/>
  <c r="B2589" i="1"/>
  <c r="B16968" i="1"/>
  <c r="B5916" i="1"/>
  <c r="B5882" i="1"/>
  <c r="B5747" i="1"/>
  <c r="B5785" i="1"/>
  <c r="B5759" i="1"/>
  <c r="B14835" i="1"/>
  <c r="B6353" i="1"/>
  <c r="B11317" i="1"/>
  <c r="B8627" i="1"/>
  <c r="B14375" i="1"/>
  <c r="B5761" i="1"/>
  <c r="B10696" i="1"/>
  <c r="B3711" i="1"/>
  <c r="B5742" i="1"/>
  <c r="B16228" i="1"/>
  <c r="B14021" i="1"/>
  <c r="B9299" i="1"/>
  <c r="B13904" i="1"/>
  <c r="B12758" i="1"/>
  <c r="B3594" i="1"/>
  <c r="B7458" i="1"/>
  <c r="B5064" i="1"/>
  <c r="B7753" i="1"/>
  <c r="B11760" i="1"/>
  <c r="B13415" i="1"/>
  <c r="B4748" i="1"/>
  <c r="B3526" i="1"/>
  <c r="B10585" i="1"/>
  <c r="B12711" i="1"/>
  <c r="B12165" i="1"/>
  <c r="B6117" i="1"/>
  <c r="B13378" i="1"/>
  <c r="B1954" i="1"/>
  <c r="B4712" i="1"/>
  <c r="B2508" i="1"/>
  <c r="B1047" i="1"/>
  <c r="B16111" i="1"/>
  <c r="B1262" i="1"/>
  <c r="B15943" i="1"/>
  <c r="B11438" i="1"/>
  <c r="B543" i="1"/>
  <c r="B12905" i="1"/>
  <c r="B530" i="1"/>
  <c r="B17589" i="1"/>
  <c r="B7542" i="1"/>
  <c r="B8743" i="1"/>
  <c r="B4942" i="1"/>
  <c r="B7882" i="1"/>
  <c r="B3741" i="1"/>
  <c r="B4254" i="1"/>
  <c r="B15640" i="1"/>
  <c r="B5142" i="1"/>
  <c r="B1199" i="1"/>
  <c r="B3458" i="1"/>
  <c r="B17824" i="1"/>
  <c r="B11859" i="1"/>
  <c r="B8575" i="1"/>
  <c r="B10820" i="1"/>
  <c r="B11854" i="1"/>
  <c r="B14577" i="1"/>
  <c r="B15008" i="1"/>
  <c r="B5276" i="1"/>
  <c r="B5081" i="1"/>
  <c r="B2828" i="1"/>
  <c r="B633" i="1"/>
  <c r="B17649" i="1"/>
  <c r="B4650" i="1"/>
  <c r="B3473" i="1"/>
  <c r="B1946" i="1"/>
  <c r="B7506" i="1"/>
  <c r="B12110" i="1"/>
  <c r="B7486" i="1"/>
  <c r="B13858" i="1"/>
  <c r="B2421" i="1"/>
  <c r="B5450" i="1"/>
  <c r="B7802" i="1"/>
  <c r="B2522" i="1"/>
  <c r="B418" i="1"/>
  <c r="B4258" i="1"/>
  <c r="B2598" i="1"/>
  <c r="B2362" i="1"/>
  <c r="B11594" i="1"/>
  <c r="B11827" i="1"/>
  <c r="B9532" i="1"/>
  <c r="B8898" i="1"/>
  <c r="B8490" i="1"/>
  <c r="B9372" i="1"/>
  <c r="B12291" i="1"/>
  <c r="B6717" i="1"/>
  <c r="B6559" i="1"/>
  <c r="B11855" i="1"/>
  <c r="B11060" i="1"/>
  <c r="B2331" i="1"/>
  <c r="B17021" i="1"/>
  <c r="B2563" i="1"/>
  <c r="B12972" i="1"/>
  <c r="B13150" i="1"/>
  <c r="B6402" i="1"/>
  <c r="B12918" i="1"/>
  <c r="B15034" i="1"/>
  <c r="B1430" i="1"/>
  <c r="B4392" i="1"/>
  <c r="B11802" i="1"/>
  <c r="B4016" i="1"/>
  <c r="B2646" i="1"/>
  <c r="B17247" i="1"/>
  <c r="B10840" i="1"/>
  <c r="B12097" i="1"/>
  <c r="B17856" i="1"/>
  <c r="B2419" i="1"/>
  <c r="B7404" i="1"/>
  <c r="B8325" i="1"/>
  <c r="B8604" i="1"/>
  <c r="B11744" i="1"/>
  <c r="B14126" i="1"/>
  <c r="B5372" i="1"/>
  <c r="B9719" i="1"/>
  <c r="B6673" i="1"/>
  <c r="B7553" i="1"/>
  <c r="B5473" i="1"/>
  <c r="B6775" i="1"/>
  <c r="B6914" i="1"/>
  <c r="B11816" i="1"/>
  <c r="B11826" i="1"/>
  <c r="B13717" i="1"/>
  <c r="B7366" i="1"/>
  <c r="B11588" i="1"/>
  <c r="B6351" i="1"/>
  <c r="B12777" i="1"/>
  <c r="B14786" i="1"/>
  <c r="B13640" i="1"/>
  <c r="B9192" i="1"/>
  <c r="B12188" i="1"/>
  <c r="B12788" i="1"/>
  <c r="B6715" i="1"/>
  <c r="B11357" i="1"/>
  <c r="B8106" i="1"/>
  <c r="B5727" i="1"/>
  <c r="B2746" i="1"/>
  <c r="B17428" i="1"/>
  <c r="B12033" i="1"/>
  <c r="B3285" i="1"/>
  <c r="B6693" i="1"/>
  <c r="B6723" i="1"/>
  <c r="B7763" i="1"/>
  <c r="B1909" i="1"/>
  <c r="B13168" i="1"/>
  <c r="B7235" i="1"/>
  <c r="B7423" i="1"/>
  <c r="B3715" i="1"/>
  <c r="B3595" i="1"/>
  <c r="B4142" i="1"/>
  <c r="B17637" i="1"/>
  <c r="B14542" i="1"/>
  <c r="B13165" i="1"/>
  <c r="B3911" i="1"/>
  <c r="B3935" i="1"/>
  <c r="B13680" i="1"/>
  <c r="B14499" i="1"/>
  <c r="B15681" i="1"/>
  <c r="B12372" i="1"/>
  <c r="B13842" i="1"/>
  <c r="B3968" i="1"/>
  <c r="B15457" i="1"/>
  <c r="B10812" i="1"/>
  <c r="B7742" i="1"/>
  <c r="B17970" i="1"/>
  <c r="B14502" i="1"/>
  <c r="B2509" i="1"/>
  <c r="B4054" i="1"/>
  <c r="B10108" i="1"/>
  <c r="B5251" i="1"/>
  <c r="B2804" i="1"/>
  <c r="B6920" i="1"/>
  <c r="B5477" i="1"/>
  <c r="B5478" i="1"/>
  <c r="B12304" i="1"/>
  <c r="B5168" i="1"/>
  <c r="B13441" i="1"/>
  <c r="B13955" i="1"/>
  <c r="B12632" i="1"/>
  <c r="B12258" i="1"/>
  <c r="B12604" i="1"/>
  <c r="B13669" i="1"/>
  <c r="B12841" i="1"/>
  <c r="B16711" i="1"/>
  <c r="B3856" i="1"/>
  <c r="B11318" i="1"/>
  <c r="B17885" i="1"/>
  <c r="B7772" i="1"/>
  <c r="B5923" i="1"/>
  <c r="B2185" i="1"/>
  <c r="B11685" i="1"/>
  <c r="B8377" i="1"/>
  <c r="B10217" i="1"/>
  <c r="B7116" i="1"/>
  <c r="B7798" i="1"/>
  <c r="B1310" i="1"/>
  <c r="B7049" i="1"/>
  <c r="B10903" i="1"/>
  <c r="B5068" i="1"/>
  <c r="B12046" i="1"/>
  <c r="B7937" i="1"/>
  <c r="B7388" i="1"/>
  <c r="B12880" i="1"/>
  <c r="B7437" i="1"/>
  <c r="B3619" i="1"/>
  <c r="B12338" i="1"/>
  <c r="B4575" i="1"/>
  <c r="B7441" i="1"/>
  <c r="B10680" i="1"/>
  <c r="B10962" i="1"/>
  <c r="B5134" i="1"/>
  <c r="B2917" i="1"/>
  <c r="B14458" i="1"/>
  <c r="B7967" i="1"/>
  <c r="B7972" i="1"/>
  <c r="B7971" i="1"/>
  <c r="B16734" i="1"/>
  <c r="B11990" i="1"/>
  <c r="B7594" i="1"/>
  <c r="B7213" i="1"/>
  <c r="B12009" i="1"/>
  <c r="B6645" i="1"/>
  <c r="B14044" i="1"/>
  <c r="B12008" i="1"/>
  <c r="B8947" i="1"/>
  <c r="B11507" i="1"/>
  <c r="B3276" i="1"/>
  <c r="B13015" i="1"/>
  <c r="B2398" i="1"/>
  <c r="B7085" i="1"/>
  <c r="B12886" i="1"/>
  <c r="B17208" i="1"/>
  <c r="B12624" i="1"/>
  <c r="B8380" i="1"/>
  <c r="B11512" i="1"/>
  <c r="B7621" i="1"/>
  <c r="B10774" i="1"/>
  <c r="B2633" i="1"/>
  <c r="B2501" i="1"/>
  <c r="B11493" i="1"/>
  <c r="B1790" i="1"/>
  <c r="B11342" i="1"/>
  <c r="B7619" i="1"/>
  <c r="B5957" i="1"/>
  <c r="B5632" i="1"/>
  <c r="B5629" i="1"/>
  <c r="B459" i="1"/>
  <c r="B5144" i="1"/>
  <c r="B15686" i="1"/>
  <c r="B3428" i="1"/>
  <c r="B12883" i="1"/>
  <c r="B1684" i="1"/>
  <c r="B12107" i="1"/>
  <c r="B13570" i="1"/>
  <c r="B11713" i="1"/>
  <c r="B12718" i="1"/>
  <c r="B2720" i="1"/>
  <c r="B15886" i="1"/>
  <c r="B5432" i="1"/>
  <c r="B14886" i="1"/>
  <c r="B6141" i="1"/>
  <c r="B6235" i="1"/>
  <c r="B4532" i="1"/>
  <c r="B173" i="1"/>
  <c r="B12898" i="1"/>
  <c r="B460" i="1"/>
  <c r="B13594" i="1"/>
  <c r="B2082" i="1"/>
  <c r="B11411" i="1"/>
  <c r="B16981" i="1"/>
  <c r="B12274" i="1"/>
  <c r="B3013" i="1"/>
  <c r="B15712" i="1"/>
  <c r="B11364" i="1"/>
  <c r="B10659" i="1"/>
  <c r="B11370" i="1"/>
  <c r="B11504" i="1"/>
  <c r="B2296" i="1"/>
  <c r="B4234" i="1"/>
  <c r="B2154" i="1"/>
  <c r="B1597" i="1"/>
  <c r="B15625" i="1"/>
  <c r="B14398" i="1"/>
  <c r="B13811" i="1"/>
  <c r="B1086" i="1"/>
  <c r="B11372" i="1"/>
  <c r="B13358" i="1"/>
  <c r="B16235" i="1"/>
  <c r="B8883" i="1"/>
  <c r="B8926" i="1"/>
  <c r="B12991" i="1"/>
  <c r="B9704" i="1"/>
  <c r="B12775" i="1"/>
  <c r="B2874" i="1"/>
  <c r="B13563" i="1"/>
  <c r="B14806" i="1"/>
  <c r="B4897" i="1"/>
  <c r="B14982" i="1"/>
  <c r="B8481" i="1"/>
  <c r="B6932" i="1"/>
  <c r="B1165" i="1"/>
  <c r="B16883" i="1"/>
  <c r="B4085" i="1"/>
  <c r="B14376" i="1"/>
  <c r="B11449" i="1"/>
  <c r="B17983" i="1"/>
  <c r="B13878" i="1"/>
  <c r="B12329" i="1"/>
  <c r="B12171" i="1"/>
  <c r="B1278" i="1"/>
  <c r="B6013" i="1"/>
  <c r="B12874" i="1"/>
  <c r="B1974" i="1"/>
  <c r="B7011" i="1"/>
  <c r="B13439" i="1"/>
  <c r="B3047" i="1"/>
  <c r="B3290" i="1"/>
  <c r="B15063" i="1"/>
  <c r="B6469" i="1"/>
  <c r="B13133" i="1"/>
  <c r="B10818" i="1"/>
  <c r="B13470" i="1"/>
  <c r="B16163" i="1"/>
  <c r="B3066" i="1"/>
  <c r="B98" i="1"/>
  <c r="B2203" i="1"/>
  <c r="B2636" i="1"/>
  <c r="B3480" i="1"/>
  <c r="B4237" i="1"/>
  <c r="B12573" i="1"/>
  <c r="B6175" i="1"/>
  <c r="B8187" i="1"/>
  <c r="B1606" i="1"/>
  <c r="B4270" i="1"/>
  <c r="B13032" i="1"/>
  <c r="B14774" i="1"/>
  <c r="B14603" i="1"/>
  <c r="B4378" i="1"/>
  <c r="B2073" i="1"/>
  <c r="B11256" i="1"/>
  <c r="B12587" i="1"/>
  <c r="B13219" i="1"/>
  <c r="B16225" i="1"/>
  <c r="B12082" i="1"/>
  <c r="B12026" i="1"/>
  <c r="B6544" i="1"/>
  <c r="B17999" i="1"/>
  <c r="B2649" i="1"/>
  <c r="B11251" i="1"/>
  <c r="B6144" i="1"/>
  <c r="B1570" i="1"/>
  <c r="B2909" i="1"/>
  <c r="B1794" i="1"/>
  <c r="B2661" i="1"/>
  <c r="B7492" i="1"/>
  <c r="B9111" i="1"/>
  <c r="B15091" i="1"/>
  <c r="B13755" i="1"/>
  <c r="B2200" i="1"/>
  <c r="B4760" i="1"/>
  <c r="B2333" i="1"/>
  <c r="B903" i="1"/>
  <c r="B11793" i="1"/>
  <c r="B7185" i="1"/>
  <c r="B6695" i="1"/>
  <c r="B1959" i="1"/>
  <c r="B11237" i="1"/>
  <c r="B1160" i="1"/>
  <c r="B11871" i="1"/>
  <c r="B7144" i="1"/>
  <c r="B6751" i="1"/>
  <c r="B3400" i="1"/>
  <c r="B1753" i="1"/>
  <c r="B4874" i="1"/>
  <c r="B416" i="1"/>
  <c r="B3157" i="1"/>
  <c r="B11956" i="1"/>
  <c r="B10379" i="1"/>
  <c r="B10394" i="1"/>
  <c r="B12772" i="1"/>
  <c r="B7723" i="1"/>
  <c r="B7142" i="1"/>
  <c r="B16127" i="1"/>
  <c r="B4314" i="1"/>
  <c r="B11149" i="1"/>
  <c r="B11427" i="1"/>
  <c r="B214" i="1"/>
  <c r="B4804" i="1"/>
  <c r="B9067" i="1"/>
  <c r="B4434" i="1"/>
  <c r="B14531" i="1"/>
  <c r="B13589" i="1"/>
  <c r="B16365" i="1"/>
  <c r="B16043" i="1"/>
  <c r="B12155" i="1"/>
  <c r="B15877" i="1"/>
  <c r="B3962" i="1"/>
  <c r="B14719" i="1"/>
  <c r="B5781" i="1"/>
  <c r="B14321" i="1"/>
  <c r="B9435" i="1"/>
  <c r="B10254" i="1"/>
  <c r="B15728" i="1"/>
  <c r="B13585" i="1"/>
  <c r="B4675" i="1"/>
  <c r="B4262" i="1"/>
  <c r="B7728" i="1"/>
  <c r="B2796" i="1"/>
  <c r="B5436" i="1"/>
  <c r="B16295" i="1"/>
  <c r="B4126" i="1"/>
  <c r="B14310" i="1"/>
  <c r="B2390" i="1"/>
  <c r="B6592" i="1"/>
  <c r="B5472" i="1"/>
  <c r="B5543" i="1"/>
  <c r="B13002" i="1"/>
  <c r="B12454" i="1"/>
  <c r="B11" i="1"/>
  <c r="B13288" i="1"/>
  <c r="B7574" i="1"/>
  <c r="B3259" i="1"/>
  <c r="B14227" i="1"/>
  <c r="B3520" i="1"/>
  <c r="B2595" i="1"/>
  <c r="B11331" i="1"/>
  <c r="B12014" i="1"/>
  <c r="B14239" i="1"/>
  <c r="B972" i="1"/>
  <c r="B14470" i="1"/>
  <c r="B10245" i="1"/>
  <c r="B3832" i="1"/>
  <c r="B10526" i="1"/>
  <c r="B12668" i="1"/>
  <c r="B11067" i="1"/>
  <c r="B7471" i="1"/>
  <c r="B6551" i="1"/>
  <c r="B3873" i="1"/>
  <c r="B5215" i="1"/>
  <c r="B13241" i="1"/>
  <c r="B13738" i="1"/>
  <c r="B5407" i="1"/>
  <c r="B3774" i="1"/>
  <c r="B1443" i="1"/>
  <c r="B7954" i="1"/>
  <c r="B5147" i="1"/>
  <c r="B6987" i="1"/>
  <c r="B5258" i="1"/>
  <c r="B12336" i="1"/>
  <c r="B12197" i="1"/>
  <c r="B8323" i="1"/>
  <c r="B11132" i="1"/>
  <c r="B1702" i="1"/>
  <c r="B4148" i="1"/>
  <c r="B5773" i="1"/>
  <c r="B11464" i="1"/>
  <c r="B9056" i="1"/>
  <c r="B13724" i="1"/>
  <c r="B12619" i="1"/>
  <c r="B2752" i="1"/>
  <c r="B9961" i="1"/>
  <c r="B10658" i="1"/>
  <c r="B7428" i="1"/>
  <c r="B10203" i="1"/>
  <c r="B1560" i="1"/>
  <c r="B9158" i="1"/>
  <c r="B2215" i="1"/>
  <c r="B15026" i="1"/>
  <c r="B12830" i="1"/>
  <c r="B4713" i="1"/>
  <c r="B10486" i="1"/>
  <c r="B10498" i="1"/>
  <c r="B7981" i="1"/>
  <c r="B12843" i="1"/>
  <c r="B11301" i="1"/>
  <c r="B15553" i="1"/>
  <c r="B2817" i="1"/>
  <c r="B3536" i="1"/>
  <c r="B11541" i="1"/>
  <c r="B12720" i="1"/>
  <c r="B13725" i="1"/>
  <c r="B1104" i="1"/>
  <c r="B15889" i="1"/>
  <c r="B5446" i="1"/>
  <c r="B13209" i="1"/>
  <c r="B8344" i="1"/>
  <c r="B2704" i="1"/>
  <c r="B3679" i="1"/>
  <c r="B10502" i="1"/>
  <c r="B2615" i="1"/>
  <c r="B12433" i="1"/>
  <c r="B3006" i="1"/>
  <c r="B3980" i="1"/>
  <c r="B3253" i="1"/>
  <c r="B10968" i="1"/>
  <c r="B15506" i="1"/>
  <c r="B5692" i="1"/>
  <c r="B2576" i="1"/>
  <c r="B14393" i="1"/>
  <c r="B9653" i="1"/>
  <c r="B13808" i="1"/>
  <c r="B14965" i="1"/>
  <c r="B4367" i="1"/>
  <c r="B2379" i="1"/>
  <c r="B10476" i="1"/>
  <c r="B1658" i="1"/>
  <c r="B3032" i="1"/>
  <c r="B11156" i="1"/>
  <c r="B7444" i="1"/>
  <c r="B11202" i="1"/>
  <c r="B5570" i="1"/>
  <c r="B13098" i="1"/>
  <c r="B1799" i="1"/>
  <c r="B5564" i="1"/>
  <c r="B5546" i="1"/>
  <c r="B11044" i="1"/>
  <c r="B1641" i="1"/>
  <c r="B7453" i="1"/>
  <c r="B16101" i="1"/>
  <c r="B5911" i="1"/>
  <c r="B2551" i="1"/>
  <c r="B13691" i="1"/>
  <c r="B2097" i="1"/>
  <c r="B2473" i="1"/>
  <c r="B2500" i="1"/>
  <c r="B11715" i="1"/>
  <c r="B11838" i="1"/>
  <c r="B4345" i="1"/>
  <c r="B11669" i="1"/>
  <c r="B11212" i="1"/>
  <c r="B12839" i="1"/>
  <c r="B1623" i="1"/>
  <c r="B10854" i="1"/>
  <c r="B7851" i="1"/>
  <c r="B10954" i="1"/>
  <c r="B4176" i="1"/>
  <c r="B12693" i="1"/>
  <c r="B15972" i="1"/>
  <c r="B2086" i="1"/>
  <c r="B6418" i="1"/>
  <c r="B2045" i="1"/>
  <c r="B13396" i="1"/>
  <c r="B4549" i="1"/>
  <c r="B3705" i="1"/>
  <c r="B13975" i="1"/>
  <c r="B2046" i="1"/>
  <c r="B6223" i="1"/>
  <c r="B17826" i="1"/>
  <c r="B13125" i="1"/>
  <c r="B6980" i="1"/>
  <c r="B3678" i="1"/>
  <c r="B14834" i="1"/>
  <c r="B12374" i="1"/>
  <c r="B8525" i="1"/>
  <c r="B7647" i="1"/>
  <c r="B12120" i="1"/>
  <c r="B4490" i="1"/>
  <c r="B7751" i="1"/>
  <c r="B4516" i="1"/>
  <c r="B3964" i="1"/>
  <c r="B16381" i="1"/>
  <c r="B8542" i="1"/>
  <c r="B12585" i="1"/>
  <c r="B4647" i="1"/>
  <c r="B17924" i="1"/>
  <c r="B17855" i="1"/>
  <c r="B7169" i="1"/>
  <c r="B13809" i="1"/>
  <c r="B879" i="1"/>
  <c r="B1737" i="1"/>
  <c r="B3577" i="1"/>
  <c r="B12799" i="1"/>
  <c r="B3344" i="1"/>
  <c r="B1468" i="1"/>
  <c r="B2471" i="1"/>
  <c r="B7617" i="1"/>
  <c r="B2191" i="1"/>
  <c r="B5355" i="1"/>
  <c r="B14011" i="1"/>
  <c r="B3839" i="1"/>
  <c r="B12825" i="1"/>
  <c r="B11745" i="1"/>
  <c r="B2514" i="1"/>
  <c r="B5313" i="1"/>
  <c r="B8008" i="1"/>
  <c r="B5560" i="1"/>
  <c r="B6934" i="1"/>
  <c r="B2204" i="1"/>
  <c r="B6803" i="1"/>
  <c r="B12811" i="1"/>
  <c r="B1327" i="1"/>
  <c r="B3325" i="1"/>
  <c r="B2996" i="1"/>
  <c r="B13245" i="1"/>
  <c r="B6545" i="1"/>
  <c r="B13566" i="1"/>
  <c r="B8073" i="1"/>
  <c r="B6860" i="1"/>
  <c r="B263" i="1"/>
  <c r="B472" i="1"/>
  <c r="B11613" i="1"/>
  <c r="B13205" i="1"/>
  <c r="B2201" i="1"/>
  <c r="B13696" i="1"/>
  <c r="B13157" i="1"/>
  <c r="B11062" i="1"/>
  <c r="B4181" i="1"/>
  <c r="B10964" i="1"/>
  <c r="B2727" i="1"/>
  <c r="B82" i="1"/>
  <c r="B13167" i="1"/>
  <c r="B1071" i="1"/>
  <c r="B5600" i="1"/>
  <c r="B4685" i="1"/>
  <c r="B5592" i="1"/>
  <c r="B5589" i="1"/>
  <c r="B3362" i="1"/>
  <c r="B1956" i="1"/>
  <c r="B4473" i="1"/>
  <c r="B7982" i="1"/>
  <c r="B705" i="1"/>
  <c r="B3707" i="1"/>
  <c r="B13463" i="1"/>
  <c r="B17041" i="1"/>
  <c r="B4376" i="1"/>
  <c r="B10468" i="1"/>
  <c r="B1405" i="1"/>
  <c r="B1178" i="1"/>
  <c r="B742" i="1"/>
  <c r="B5985" i="1"/>
  <c r="B10215" i="1"/>
  <c r="B4375" i="1"/>
  <c r="B1447" i="1"/>
  <c r="B4646" i="1"/>
  <c r="B15068" i="1"/>
  <c r="B568" i="1"/>
  <c r="B6871" i="1"/>
  <c r="B8911" i="1"/>
  <c r="B12850" i="1"/>
  <c r="B2862" i="1"/>
  <c r="B4730" i="1"/>
  <c r="B5563" i="1"/>
  <c r="B5655" i="1"/>
  <c r="B2475" i="1"/>
  <c r="B5583" i="1"/>
  <c r="B5584" i="1"/>
  <c r="B13123" i="1"/>
  <c r="B11017" i="1"/>
  <c r="B6754" i="1"/>
  <c r="B14681" i="1"/>
  <c r="B188" i="1"/>
  <c r="B15543" i="1"/>
  <c r="B14550" i="1"/>
  <c r="B6584" i="1"/>
  <c r="B4990" i="1"/>
  <c r="B4002" i="1"/>
  <c r="B6942" i="1"/>
  <c r="B1979" i="1"/>
  <c r="B2986" i="1"/>
  <c r="B1185" i="1"/>
  <c r="B755" i="1"/>
  <c r="B1040" i="1"/>
  <c r="B333" i="1"/>
  <c r="B216" i="1"/>
  <c r="B17993" i="1"/>
  <c r="B6643" i="1"/>
  <c r="B14130" i="1"/>
  <c r="B2298" i="1"/>
  <c r="B13185" i="1"/>
  <c r="B3277" i="1"/>
  <c r="B5547" i="1"/>
  <c r="B7952" i="1"/>
  <c r="B1971" i="1"/>
  <c r="B2065" i="1"/>
  <c r="B729" i="1"/>
  <c r="B3740" i="1"/>
  <c r="B7976" i="1"/>
  <c r="B12240" i="1"/>
  <c r="B13275" i="1"/>
  <c r="B3734" i="1"/>
  <c r="B12376" i="1"/>
  <c r="B10682" i="1"/>
  <c r="B11389" i="1"/>
  <c r="B4583" i="1"/>
  <c r="B929" i="1"/>
  <c r="B13021" i="1"/>
  <c r="B3477" i="1"/>
  <c r="B16227" i="1"/>
  <c r="B6904" i="1"/>
  <c r="B1124" i="1"/>
  <c r="B4100" i="1"/>
  <c r="B4855" i="1"/>
  <c r="B4934" i="1"/>
  <c r="B596" i="1"/>
  <c r="B2586" i="1"/>
  <c r="B15730" i="1"/>
  <c r="B4787" i="1"/>
  <c r="B14103" i="1"/>
  <c r="B17852" i="1"/>
  <c r="B4836" i="1"/>
  <c r="B1063" i="1"/>
  <c r="B12172" i="1"/>
  <c r="B7604" i="1"/>
  <c r="B2327" i="1"/>
  <c r="B13410" i="1"/>
  <c r="B13427" i="1"/>
  <c r="B1001" i="1"/>
  <c r="B4638" i="1"/>
  <c r="B13053" i="1"/>
  <c r="B7869" i="1"/>
  <c r="B5132" i="1"/>
  <c r="B3455" i="1"/>
  <c r="B13727" i="1"/>
  <c r="B2018" i="1"/>
  <c r="B17751" i="1"/>
  <c r="B4894" i="1"/>
  <c r="B12259" i="1"/>
  <c r="B3651" i="1"/>
  <c r="B12903" i="1"/>
  <c r="B13682" i="1"/>
  <c r="B4533" i="1"/>
  <c r="B6792" i="1"/>
  <c r="B1294" i="1"/>
  <c r="B13606" i="1"/>
  <c r="B12039" i="1"/>
  <c r="B13695" i="1"/>
  <c r="B7005" i="1"/>
  <c r="B4382" i="1"/>
  <c r="B16315" i="1"/>
  <c r="B6743" i="1"/>
  <c r="B12653" i="1"/>
  <c r="B17746" i="1"/>
  <c r="B771" i="1"/>
  <c r="B547" i="1"/>
  <c r="B3432" i="1"/>
  <c r="B3752" i="1"/>
  <c r="B1031" i="1"/>
  <c r="B6956" i="1"/>
  <c r="B2731" i="1"/>
  <c r="B13574" i="1"/>
  <c r="B5413" i="1"/>
  <c r="B1437" i="1"/>
  <c r="B13619" i="1"/>
  <c r="B13365" i="1"/>
  <c r="B13169" i="1"/>
  <c r="B7919" i="1"/>
  <c r="B12414" i="1"/>
  <c r="B10090" i="1"/>
  <c r="B13171" i="1"/>
  <c r="B3957" i="1"/>
  <c r="B13179" i="1"/>
  <c r="B3409" i="1"/>
  <c r="B13175" i="1"/>
  <c r="B8070" i="1"/>
  <c r="B4504" i="1"/>
  <c r="B3738" i="1"/>
  <c r="B12055" i="1"/>
  <c r="B10431" i="1"/>
  <c r="B12534" i="1"/>
  <c r="B11350" i="1"/>
  <c r="B13685" i="1"/>
  <c r="B14503" i="1"/>
  <c r="B654" i="1"/>
  <c r="B4933" i="1"/>
  <c r="B3291" i="1"/>
  <c r="B14331" i="1"/>
  <c r="B6439" i="1"/>
  <c r="B10011" i="1"/>
  <c r="B1491" i="1"/>
  <c r="B7843" i="1"/>
  <c r="B12824" i="1"/>
  <c r="B12236" i="1"/>
  <c r="B6027" i="1"/>
  <c r="B11513" i="1"/>
  <c r="B281" i="1"/>
  <c r="B17134" i="1"/>
  <c r="B607" i="1"/>
  <c r="B953" i="1"/>
  <c r="B12852" i="1"/>
  <c r="B9266" i="1"/>
  <c r="B14524" i="1"/>
  <c r="B604" i="1"/>
  <c r="B2585" i="1"/>
  <c r="B9690" i="1"/>
  <c r="B4635" i="1"/>
  <c r="B2241" i="1"/>
  <c r="B5602" i="1"/>
  <c r="B11549" i="1"/>
  <c r="B13489" i="1"/>
  <c r="B1884" i="1"/>
  <c r="B3621" i="1"/>
  <c r="B13068" i="1"/>
  <c r="B12260" i="1"/>
  <c r="B4574" i="1"/>
  <c r="B12157" i="1"/>
  <c r="B4854" i="1"/>
  <c r="B10524" i="1"/>
  <c r="B11868" i="1"/>
  <c r="B6773" i="1"/>
  <c r="B4199" i="1"/>
  <c r="B1107" i="1"/>
  <c r="B2683" i="1"/>
  <c r="B2078" i="1"/>
  <c r="B11892" i="1"/>
  <c r="B12820" i="1"/>
  <c r="B8061" i="1"/>
  <c r="B12174" i="1"/>
  <c r="B2183" i="1"/>
  <c r="B8025" i="1"/>
  <c r="B2650" i="1"/>
  <c r="B12576" i="1"/>
  <c r="B4505" i="1"/>
  <c r="B1564" i="1"/>
  <c r="B9768" i="1"/>
  <c r="B2870" i="1"/>
  <c r="B8322" i="1"/>
  <c r="B3758" i="1"/>
  <c r="B12344" i="1"/>
  <c r="B2049" i="1"/>
  <c r="B4691" i="1"/>
  <c r="B1283" i="1"/>
  <c r="B1183" i="1"/>
  <c r="B13492" i="1"/>
  <c r="B1828" i="1"/>
  <c r="B2091" i="1"/>
  <c r="B12218" i="1"/>
  <c r="B4640" i="1"/>
  <c r="B10231" i="1"/>
  <c r="B6092" i="1"/>
  <c r="B7589" i="1"/>
  <c r="B34" i="1"/>
  <c r="B656" i="1"/>
  <c r="B4103" i="1"/>
  <c r="B12057" i="1"/>
  <c r="B15870" i="1"/>
  <c r="B5165" i="1"/>
  <c r="B5928" i="1"/>
  <c r="B1088" i="1"/>
  <c r="B5528" i="1"/>
  <c r="B6924" i="1"/>
  <c r="B4784" i="1"/>
  <c r="B6865" i="1"/>
  <c r="B11839" i="1"/>
  <c r="B11191" i="1"/>
  <c r="B7176" i="1"/>
  <c r="B678" i="1"/>
  <c r="B11723" i="1"/>
  <c r="B2299" i="1"/>
  <c r="B7857" i="1"/>
  <c r="B11596" i="1"/>
  <c r="B12591" i="1"/>
  <c r="B11079" i="1"/>
  <c r="B13503" i="1"/>
  <c r="B4230" i="1"/>
  <c r="B7033" i="1"/>
  <c r="B16046" i="1"/>
  <c r="B12385" i="1"/>
  <c r="B5873" i="1"/>
  <c r="B3652" i="1"/>
  <c r="B7974" i="1"/>
  <c r="B8514" i="1"/>
  <c r="B11109" i="1"/>
  <c r="B11740" i="1"/>
  <c r="B1181" i="1"/>
  <c r="B11329" i="1"/>
  <c r="B3949" i="1"/>
  <c r="B13672" i="1"/>
  <c r="B10876" i="1"/>
  <c r="B12" i="1"/>
  <c r="B11684" i="1"/>
  <c r="B12588" i="1"/>
  <c r="B2801" i="1"/>
  <c r="B12080" i="1"/>
  <c r="B14668" i="1"/>
  <c r="B12497" i="1"/>
  <c r="B12389" i="1"/>
  <c r="B5141" i="1"/>
  <c r="B13538" i="1"/>
  <c r="B4759" i="1"/>
  <c r="B2999" i="1"/>
  <c r="B9003" i="1"/>
  <c r="B350" i="1"/>
  <c r="B4129" i="1"/>
  <c r="B17349" i="1"/>
  <c r="B512" i="1"/>
  <c r="B17010" i="1"/>
  <c r="B471" i="1"/>
  <c r="B970" i="1"/>
  <c r="B13935" i="1"/>
  <c r="B7105" i="1"/>
  <c r="B4120" i="1"/>
  <c r="B12723" i="1"/>
  <c r="B2513" i="1"/>
  <c r="B11671" i="1"/>
  <c r="B12921" i="1"/>
  <c r="B10702" i="1"/>
  <c r="B15443" i="1"/>
  <c r="B2266" i="1"/>
  <c r="B7704" i="1"/>
  <c r="B11221" i="1"/>
  <c r="B15929" i="1"/>
  <c r="B12442" i="1"/>
  <c r="B14811" i="1"/>
  <c r="B12662" i="1"/>
  <c r="B3340" i="1"/>
  <c r="B10646" i="1"/>
  <c r="B12348" i="1"/>
  <c r="B12318" i="1"/>
  <c r="B15941" i="1"/>
  <c r="B1807" i="1"/>
  <c r="B4726" i="1"/>
  <c r="B1289" i="1"/>
  <c r="B3080" i="1"/>
  <c r="B15" i="1"/>
  <c r="B12938" i="1"/>
  <c r="B15707" i="1"/>
  <c r="B1384" i="1"/>
  <c r="B5019" i="1"/>
  <c r="B6750" i="1"/>
  <c r="B6908" i="1"/>
  <c r="B12225" i="1"/>
  <c r="B4184" i="1"/>
  <c r="B13783" i="1"/>
  <c r="B4970" i="1"/>
  <c r="B5192" i="1"/>
  <c r="B2587" i="1"/>
  <c r="B14439" i="1"/>
  <c r="B3060" i="1"/>
  <c r="B4965" i="1"/>
  <c r="B328" i="1"/>
  <c r="B10786" i="1"/>
  <c r="B14613" i="1"/>
  <c r="B11284" i="1"/>
  <c r="B13544" i="1"/>
  <c r="B4626" i="1"/>
  <c r="B4776" i="1"/>
  <c r="B707" i="1"/>
  <c r="B15962" i="1"/>
  <c r="B4040" i="1"/>
  <c r="B16168" i="1"/>
  <c r="B1730" i="1"/>
  <c r="B6938" i="1"/>
  <c r="B470" i="1"/>
  <c r="B2702" i="1"/>
  <c r="B11897" i="1"/>
  <c r="B11247" i="1"/>
  <c r="B7228" i="1"/>
  <c r="B5250" i="1"/>
  <c r="B2788" i="1"/>
  <c r="B14883" i="1"/>
  <c r="B4588" i="1"/>
  <c r="B4996" i="1"/>
  <c r="B12307" i="1"/>
  <c r="B14700" i="1"/>
  <c r="B12640" i="1"/>
  <c r="B6690" i="1"/>
  <c r="B5480" i="1"/>
  <c r="B13238" i="1"/>
  <c r="B8925" i="1"/>
  <c r="B4302" i="1"/>
  <c r="B11223" i="1"/>
  <c r="B12643" i="1"/>
  <c r="B1928" i="1"/>
  <c r="B5654" i="1"/>
  <c r="B1266" i="1"/>
  <c r="B8681" i="1"/>
  <c r="B3023" i="1"/>
  <c r="B2542" i="1"/>
  <c r="B3295" i="1"/>
  <c r="B3042" i="1"/>
  <c r="B8668" i="1"/>
  <c r="B3191" i="1"/>
  <c r="B13969" i="1"/>
  <c r="B4249" i="1"/>
  <c r="B561" i="1"/>
  <c r="B4812" i="1"/>
  <c r="B3735" i="1"/>
  <c r="B17794" i="1"/>
  <c r="B2231" i="1"/>
  <c r="B10188" i="1"/>
  <c r="B11442" i="1"/>
  <c r="B9174" i="1"/>
  <c r="B12151" i="1"/>
  <c r="B11386" i="1"/>
  <c r="B11831" i="1"/>
  <c r="B5384" i="1"/>
  <c r="B1744" i="1"/>
  <c r="B12210" i="1"/>
  <c r="B10853" i="1"/>
  <c r="B3511" i="1"/>
  <c r="B5479" i="1"/>
  <c r="B11812" i="1"/>
  <c r="B3876" i="1"/>
  <c r="B3345" i="1"/>
  <c r="B3528" i="1"/>
  <c r="B11629" i="1"/>
  <c r="B3763" i="1"/>
  <c r="B8831" i="1"/>
  <c r="B11719" i="1"/>
  <c r="B14873" i="1"/>
  <c r="B1752" i="1"/>
  <c r="B13693" i="1"/>
  <c r="B2268" i="1"/>
  <c r="B2170" i="1"/>
  <c r="B3176" i="1"/>
  <c r="B15784" i="1"/>
  <c r="B15108" i="1"/>
  <c r="B6380" i="1"/>
  <c r="B10199" i="1"/>
  <c r="B1822" i="1"/>
  <c r="B1817" i="1"/>
  <c r="B12594" i="1"/>
  <c r="B13019" i="1"/>
  <c r="B12971" i="1"/>
  <c r="B13656" i="1"/>
  <c r="B1211" i="1"/>
  <c r="B6301" i="1"/>
  <c r="B1841" i="1"/>
  <c r="B1010" i="1"/>
  <c r="B4366" i="1"/>
  <c r="B6859" i="1"/>
  <c r="B5243" i="1"/>
  <c r="B3357" i="1"/>
  <c r="B3011" i="1"/>
  <c r="B12589" i="1"/>
  <c r="B12468" i="1"/>
  <c r="B9963" i="1"/>
  <c r="B13879" i="1"/>
  <c r="B12194" i="1"/>
  <c r="B2863" i="1"/>
  <c r="B12648" i="1"/>
  <c r="B7501" i="1"/>
  <c r="B12015" i="1"/>
  <c r="B7030" i="1"/>
  <c r="B10420" i="1"/>
  <c r="B4898" i="1"/>
  <c r="B2063" i="1"/>
  <c r="B6327" i="1"/>
  <c r="B7291" i="1"/>
  <c r="B15280" i="1"/>
  <c r="B12674" i="1"/>
  <c r="B13295" i="1"/>
  <c r="B14332" i="1"/>
  <c r="B3637" i="1"/>
  <c r="B4785" i="1"/>
  <c r="B8823" i="1"/>
  <c r="B9460" i="1"/>
  <c r="B2251" i="1"/>
  <c r="B11624" i="1"/>
  <c r="B13353" i="1"/>
  <c r="B183" i="1"/>
  <c r="B12861" i="1"/>
  <c r="B3045" i="1"/>
  <c r="B10990" i="1"/>
  <c r="B11269" i="1"/>
  <c r="B10352" i="1"/>
  <c r="B10738" i="1"/>
  <c r="B7917" i="1"/>
  <c r="B2197" i="1"/>
  <c r="B1044" i="1"/>
  <c r="B10307" i="1"/>
  <c r="B5025" i="1"/>
  <c r="B2180" i="1"/>
  <c r="B13472" i="1"/>
  <c r="B17058" i="1"/>
  <c r="B3149" i="1"/>
  <c r="B1731" i="1"/>
  <c r="B2992" i="1"/>
  <c r="B14626" i="1"/>
  <c r="B10671" i="1"/>
  <c r="B3266" i="1"/>
  <c r="B5606" i="1"/>
  <c r="B5885" i="1"/>
  <c r="B5611" i="1"/>
  <c r="B4639" i="1"/>
  <c r="B12351" i="1"/>
  <c r="B1863" i="1"/>
  <c r="B12756" i="1"/>
  <c r="B5904" i="1"/>
  <c r="B9148" i="1"/>
  <c r="B5344" i="1"/>
  <c r="B13689" i="1"/>
  <c r="B4351" i="1"/>
  <c r="B4734" i="1"/>
  <c r="B14140" i="1"/>
  <c r="B15798" i="1"/>
  <c r="B15092" i="1"/>
  <c r="B17854" i="1"/>
  <c r="B6404" i="1"/>
  <c r="B1678" i="1"/>
  <c r="B13285" i="1"/>
  <c r="B13513" i="1"/>
  <c r="B12200" i="1"/>
  <c r="B12250" i="1"/>
  <c r="B10984" i="1"/>
  <c r="B12251" i="1"/>
  <c r="B4125" i="1"/>
  <c r="B6492" i="1"/>
  <c r="B10480" i="1"/>
  <c r="B5517" i="1"/>
  <c r="B101" i="1"/>
  <c r="B4442" i="1"/>
  <c r="B3504" i="1"/>
  <c r="B3563" i="1"/>
  <c r="B4850" i="1"/>
  <c r="B4141" i="1"/>
  <c r="B4761" i="1"/>
  <c r="B11194" i="1"/>
  <c r="B2172" i="1"/>
  <c r="B2521" i="1"/>
  <c r="B11529" i="1"/>
  <c r="B4024" i="1"/>
  <c r="B7755" i="1"/>
  <c r="B2564" i="1"/>
  <c r="B14771" i="1"/>
  <c r="B13536" i="1"/>
  <c r="B9746" i="1"/>
  <c r="B12309" i="1"/>
  <c r="B11227" i="1"/>
  <c r="B4445" i="1"/>
  <c r="B12650" i="1"/>
  <c r="B5524" i="1"/>
  <c r="B2783" i="1"/>
  <c r="B7606" i="1"/>
  <c r="B11182" i="1"/>
  <c r="B12367" i="1"/>
  <c r="B13339" i="1"/>
  <c r="B15370" i="1"/>
  <c r="B14388" i="1"/>
  <c r="B13952" i="1"/>
  <c r="B513" i="1"/>
  <c r="B15180" i="1"/>
  <c r="B726" i="1"/>
  <c r="B6632" i="1"/>
  <c r="B14705" i="1"/>
  <c r="B9449" i="1"/>
  <c r="B2343" i="1"/>
  <c r="B4701" i="1"/>
  <c r="B13478" i="1"/>
  <c r="B16306" i="1"/>
  <c r="B828" i="1"/>
  <c r="B13872" i="1"/>
  <c r="B17946" i="1"/>
  <c r="B7093" i="1"/>
  <c r="B3414" i="1"/>
  <c r="B2787" i="1"/>
  <c r="B11552" i="1"/>
  <c r="B9088" i="1"/>
  <c r="B1229" i="1"/>
  <c r="B3533" i="1"/>
  <c r="B10905" i="1"/>
  <c r="B1773" i="1"/>
  <c r="B14347" i="1"/>
  <c r="B3591" i="1"/>
  <c r="B8955" i="1"/>
  <c r="B8386" i="1"/>
  <c r="B13899" i="1"/>
  <c r="B3099" i="1"/>
  <c r="B7845" i="1"/>
  <c r="B520" i="1"/>
  <c r="B2071" i="1"/>
  <c r="B16327" i="1"/>
  <c r="B4020" i="1"/>
  <c r="B7638" i="1"/>
  <c r="B8813" i="1"/>
  <c r="B7490" i="1"/>
  <c r="B6886" i="1"/>
  <c r="B8887" i="1"/>
  <c r="B11706" i="1"/>
  <c r="B2496" i="1"/>
  <c r="B13780" i="1"/>
  <c r="B1883" i="1"/>
  <c r="B12895" i="1"/>
  <c r="B12398" i="1"/>
  <c r="B5946" i="1"/>
  <c r="B10637" i="1"/>
  <c r="B13948" i="1"/>
  <c r="B13592" i="1"/>
  <c r="B13379" i="1"/>
  <c r="B9136" i="1"/>
  <c r="B7218" i="1"/>
  <c r="B556" i="1"/>
  <c r="B14336" i="1"/>
  <c r="B11724" i="1"/>
  <c r="B10018" i="1"/>
  <c r="B8957" i="1"/>
  <c r="B11659" i="1"/>
  <c r="B5410" i="1"/>
  <c r="B5439" i="1"/>
  <c r="B177" i="1"/>
  <c r="B4247" i="1"/>
  <c r="B1767" i="1"/>
  <c r="B6527" i="1"/>
  <c r="B3125" i="1"/>
  <c r="B6822" i="1"/>
  <c r="B14581" i="1"/>
  <c r="B1329" i="1"/>
  <c r="B5986" i="1"/>
  <c r="B11554" i="1"/>
  <c r="B1759" i="1"/>
  <c r="B8020" i="1"/>
  <c r="B7018" i="1"/>
  <c r="B4391" i="1"/>
  <c r="B1770" i="1"/>
  <c r="B725" i="1"/>
  <c r="B14808" i="1"/>
  <c r="B4973" i="1"/>
  <c r="B14717" i="1"/>
  <c r="B14659" i="1"/>
  <c r="B13854" i="1"/>
  <c r="B3553" i="1"/>
  <c r="B4412" i="1"/>
  <c r="B1622" i="1"/>
  <c r="B839" i="1"/>
  <c r="B4095" i="1"/>
  <c r="B1593" i="1"/>
  <c r="B8857" i="1"/>
  <c r="B3423" i="1"/>
  <c r="B372" i="1"/>
  <c r="B1034" i="1"/>
  <c r="B822" i="1"/>
  <c r="B95" i="1"/>
  <c r="B8161" i="1"/>
  <c r="B10454" i="1"/>
  <c r="B11925" i="1"/>
  <c r="B10295" i="1"/>
  <c r="B5380" i="1"/>
  <c r="B14154" i="1"/>
  <c r="B12687" i="1"/>
  <c r="B7651" i="1"/>
  <c r="B11433" i="1"/>
  <c r="B10456" i="1"/>
  <c r="B11972" i="1"/>
  <c r="B10761" i="1"/>
  <c r="B8741" i="1"/>
  <c r="B12356" i="1"/>
  <c r="B1056" i="1"/>
  <c r="B10396" i="1"/>
  <c r="B2605" i="1"/>
  <c r="B17890" i="1"/>
  <c r="B3372" i="1"/>
  <c r="B16229" i="1"/>
  <c r="B12502" i="1"/>
  <c r="B14970" i="1"/>
  <c r="B3932" i="1"/>
  <c r="B16079" i="1"/>
  <c r="B10566" i="1"/>
  <c r="B2897" i="1"/>
  <c r="B5176" i="1"/>
  <c r="B13877" i="1"/>
  <c r="B15178" i="1"/>
  <c r="B10906" i="1"/>
  <c r="B12349" i="1"/>
  <c r="B10583" i="1"/>
  <c r="B10586" i="1"/>
  <c r="B10589" i="1"/>
  <c r="B800" i="1"/>
  <c r="B16948" i="1"/>
  <c r="B2588" i="1"/>
  <c r="B8358" i="1"/>
  <c r="B4156" i="1"/>
  <c r="B4208" i="1"/>
  <c r="B2008" i="1"/>
  <c r="B2274" i="1"/>
  <c r="B14348" i="1"/>
  <c r="B15820" i="1"/>
  <c r="B5140" i="1"/>
  <c r="B210" i="1"/>
  <c r="B848" i="1"/>
  <c r="B15939" i="1"/>
  <c r="B14487" i="1"/>
  <c r="B4069" i="1"/>
  <c r="B4418" i="1"/>
  <c r="B11369" i="1"/>
  <c r="B794" i="1"/>
  <c r="B14052" i="1"/>
  <c r="B3028" i="1"/>
  <c r="B11539" i="1"/>
  <c r="B13333" i="1"/>
  <c r="B12554" i="1"/>
  <c r="B2163" i="1"/>
  <c r="B3152" i="1"/>
  <c r="B13452" i="1"/>
  <c r="B12527" i="1"/>
  <c r="B1871" i="1"/>
  <c r="B9366" i="1"/>
  <c r="B4211" i="1"/>
  <c r="B5304" i="1"/>
  <c r="B4645" i="1"/>
  <c r="B15411" i="1"/>
  <c r="B13276" i="1"/>
  <c r="B9520" i="1"/>
  <c r="B9175" i="1"/>
  <c r="B4658" i="1"/>
  <c r="B11216" i="1"/>
  <c r="B1459" i="1"/>
  <c r="B12546" i="1"/>
  <c r="B3908" i="1"/>
  <c r="B7833" i="1"/>
  <c r="B8536" i="1"/>
  <c r="B2604" i="1"/>
  <c r="B5266" i="1"/>
  <c r="B8985" i="1"/>
  <c r="B10424" i="1"/>
  <c r="B11847" i="1"/>
  <c r="B8509" i="1"/>
  <c r="B12539" i="1"/>
  <c r="B147" i="1"/>
  <c r="B2028" i="1"/>
  <c r="B14051" i="1"/>
  <c r="B16159" i="1"/>
  <c r="B4406" i="1"/>
  <c r="B3211" i="1"/>
  <c r="B4118" i="1"/>
  <c r="B16673" i="1"/>
  <c r="B10118" i="1"/>
  <c r="B15097" i="1"/>
  <c r="B5282" i="1"/>
  <c r="B3974" i="1"/>
  <c r="B17987" i="1"/>
  <c r="B2868" i="1"/>
  <c r="B7416" i="1"/>
  <c r="B11112" i="1"/>
  <c r="B15348" i="1"/>
  <c r="B12958" i="1"/>
  <c r="B501" i="1"/>
  <c r="B2940" i="1"/>
  <c r="B2190" i="1"/>
  <c r="B4015" i="1"/>
  <c r="B2978" i="1"/>
  <c r="B4554" i="1"/>
  <c r="B6902" i="1"/>
  <c r="B2684" i="1"/>
  <c r="B5293" i="1"/>
  <c r="B11702" i="1"/>
  <c r="B14313" i="1"/>
  <c r="B12354" i="1"/>
  <c r="B7764" i="1"/>
  <c r="B3847" i="1"/>
  <c r="B8874" i="1"/>
  <c r="B3019" i="1"/>
  <c r="B10386" i="1"/>
  <c r="B3392" i="1"/>
  <c r="B12112" i="1"/>
  <c r="B5269" i="1"/>
  <c r="B15013" i="1"/>
  <c r="B15346" i="1"/>
  <c r="B1694" i="1"/>
  <c r="B1686" i="1"/>
  <c r="B9265" i="1"/>
  <c r="B1675" i="1"/>
  <c r="B2614" i="1"/>
  <c r="B5403" i="1"/>
  <c r="B1745" i="1"/>
  <c r="B17840" i="1"/>
  <c r="B4956" i="1"/>
  <c r="B15851" i="1"/>
  <c r="B53" i="1"/>
  <c r="B12470" i="1"/>
  <c r="B977" i="1"/>
  <c r="B4444" i="1"/>
  <c r="B11403" i="1"/>
  <c r="B6077" i="1"/>
  <c r="B6213" i="1"/>
  <c r="B7003" i="1"/>
  <c r="B13523" i="1"/>
  <c r="B103" i="1"/>
  <c r="B2400" i="1"/>
  <c r="B308" i="1"/>
  <c r="B4131" i="1"/>
  <c r="B1785" i="1"/>
  <c r="B424" i="1"/>
  <c r="B12440" i="1"/>
  <c r="B13164" i="1"/>
  <c r="B5876" i="1"/>
  <c r="B6622" i="1"/>
  <c r="B6806" i="1"/>
  <c r="B12770" i="1"/>
  <c r="B1455" i="1"/>
  <c r="B5651" i="1"/>
  <c r="B6508" i="1"/>
  <c r="B13726" i="1"/>
  <c r="B5839" i="1"/>
  <c r="B4666" i="1"/>
  <c r="B13741" i="1"/>
  <c r="B3622" i="1"/>
  <c r="B13681" i="1"/>
  <c r="B1952" i="1"/>
  <c r="B4394" i="1"/>
  <c r="B7150" i="1"/>
  <c r="B13081" i="1"/>
  <c r="B1237" i="1"/>
  <c r="B1543" i="1"/>
  <c r="B2338" i="1"/>
  <c r="B10225" i="1"/>
  <c r="B11955" i="1"/>
  <c r="B4930" i="1"/>
  <c r="B14665" i="1"/>
  <c r="B6456" i="1"/>
  <c r="B11861" i="1"/>
  <c r="B13997" i="1"/>
  <c r="B919" i="1"/>
  <c r="B12074" i="1"/>
  <c r="B12490" i="1"/>
  <c r="B4028" i="1"/>
  <c r="B2320" i="1"/>
  <c r="B6753" i="1"/>
  <c r="B4984" i="1"/>
  <c r="B17401" i="1"/>
  <c r="B322" i="1"/>
  <c r="B8766" i="1"/>
  <c r="B11489" i="1"/>
  <c r="B2101" i="1"/>
  <c r="B13769" i="1"/>
  <c r="B12196" i="1"/>
  <c r="B11991" i="1"/>
  <c r="B10913" i="1"/>
  <c r="B9419" i="1"/>
  <c r="B411" i="1"/>
  <c r="B1758" i="1"/>
  <c r="B4739" i="1"/>
  <c r="B2038" i="1"/>
  <c r="B10848" i="1"/>
  <c r="B16370" i="1"/>
  <c r="B8562" i="1"/>
  <c r="B11941" i="1"/>
  <c r="B7491" i="1"/>
  <c r="B13552" i="1"/>
  <c r="B13387" i="1"/>
  <c r="B836" i="1"/>
  <c r="B13222" i="1"/>
  <c r="B1436" i="1"/>
  <c r="B8888" i="1"/>
  <c r="B16201" i="1"/>
  <c r="B13745" i="1"/>
  <c r="B10247" i="1"/>
  <c r="B4876" i="1"/>
  <c r="B2688" i="1"/>
  <c r="B10268" i="1"/>
  <c r="B11948" i="1"/>
  <c r="B12198" i="1"/>
  <c r="B13355" i="1"/>
  <c r="B11207" i="1"/>
  <c r="B7443" i="1"/>
  <c r="B4896" i="1"/>
  <c r="B4517" i="1"/>
  <c r="B1051" i="1"/>
  <c r="B16297" i="1"/>
  <c r="B15342" i="1"/>
  <c r="B1055" i="1"/>
  <c r="B13191" i="1"/>
  <c r="B11172" i="1"/>
  <c r="B4807" i="1"/>
  <c r="B5117" i="1"/>
  <c r="B866" i="1"/>
  <c r="B302" i="1"/>
  <c r="B9781" i="1"/>
  <c r="B5190" i="1"/>
  <c r="B7025" i="1"/>
  <c r="B2206" i="1"/>
  <c r="B5317" i="1"/>
  <c r="B1555" i="1"/>
  <c r="B11904" i="1"/>
  <c r="B15006" i="1"/>
  <c r="B2041" i="1"/>
  <c r="B4417" i="1"/>
  <c r="B2708" i="1"/>
  <c r="B5337" i="1"/>
  <c r="B4890" i="1"/>
  <c r="B8480" i="1"/>
  <c r="B6135" i="1"/>
  <c r="B1490" i="1"/>
  <c r="B10093" i="1"/>
  <c r="B12637" i="1"/>
  <c r="B11270" i="1"/>
  <c r="B3819" i="1"/>
  <c r="B2807" i="1"/>
  <c r="B12091" i="1"/>
  <c r="B10836" i="1"/>
  <c r="B12639" i="1"/>
  <c r="B8917" i="1"/>
  <c r="B10748" i="1"/>
  <c r="B11917" i="1"/>
  <c r="B12577" i="1"/>
  <c r="B10547" i="1"/>
  <c r="B10523" i="1"/>
  <c r="B3843" i="1"/>
  <c r="B13357" i="1"/>
  <c r="B4629" i="1"/>
  <c r="B12342" i="1"/>
  <c r="B3902" i="1"/>
  <c r="B12142" i="1"/>
  <c r="B12973" i="1"/>
  <c r="B12814" i="1"/>
  <c r="B882" i="1"/>
  <c r="B10781" i="1"/>
  <c r="B12006" i="1"/>
  <c r="B10919" i="1"/>
  <c r="B10652" i="1"/>
  <c r="B11953" i="1"/>
  <c r="B11616" i="1"/>
  <c r="B500" i="1"/>
  <c r="B1370" i="1"/>
  <c r="B11367" i="1"/>
  <c r="B12162" i="1"/>
  <c r="B11916" i="1"/>
  <c r="B11397" i="1"/>
  <c r="B2382" i="1"/>
  <c r="B6231" i="1"/>
  <c r="B6796" i="1"/>
  <c r="B11564" i="1"/>
  <c r="B11377" i="1"/>
  <c r="B3831" i="1"/>
  <c r="B10789" i="1"/>
  <c r="B5833" i="1"/>
  <c r="B1657" i="1"/>
  <c r="B12375" i="1"/>
  <c r="B7433" i="1"/>
  <c r="B10833" i="1"/>
  <c r="B6884" i="1"/>
  <c r="B17476" i="1"/>
  <c r="B10540" i="1"/>
  <c r="B3990" i="1"/>
  <c r="B13546" i="1"/>
  <c r="B7599" i="1"/>
  <c r="B5520" i="1"/>
  <c r="B5607" i="1"/>
  <c r="B2336" i="1"/>
  <c r="B7083" i="1"/>
  <c r="B2171" i="1"/>
  <c r="B4014" i="1"/>
  <c r="B2198" i="1"/>
  <c r="B10381" i="1"/>
  <c r="B5619" i="1"/>
  <c r="B5618" i="1"/>
  <c r="B15969" i="1"/>
  <c r="B1179" i="1"/>
  <c r="B9600" i="1"/>
  <c r="B13382" i="1"/>
  <c r="B16554" i="1"/>
  <c r="B3339" i="1"/>
  <c r="B8753" i="1"/>
  <c r="B13476" i="1"/>
  <c r="B1697" i="1"/>
  <c r="B1025" i="1"/>
  <c r="B5608" i="1"/>
  <c r="B6201" i="1"/>
  <c r="B5866" i="1"/>
  <c r="B14472" i="1"/>
  <c r="B13156" i="1"/>
  <c r="B6236" i="1"/>
  <c r="B15747" i="1"/>
  <c r="B12917" i="1"/>
  <c r="B9427" i="1"/>
  <c r="B5206" i="1"/>
  <c r="B193" i="1"/>
  <c r="B7849" i="1"/>
  <c r="B2248" i="1"/>
  <c r="B4612" i="1"/>
  <c r="B4198" i="1"/>
  <c r="B4374" i="1"/>
  <c r="B11174" i="1"/>
  <c r="B15051" i="1"/>
  <c r="B10720" i="1"/>
  <c r="B8425" i="1"/>
  <c r="B9805" i="1"/>
  <c r="B3573" i="1"/>
  <c r="B3323" i="1"/>
  <c r="B12860" i="1"/>
  <c r="B3091" i="1"/>
  <c r="B12963" i="1"/>
  <c r="B2960" i="1"/>
  <c r="B11666" i="1"/>
  <c r="B7541" i="1"/>
  <c r="B3052" i="1"/>
  <c r="B174" i="1"/>
  <c r="B11983" i="1"/>
  <c r="B5521" i="1"/>
  <c r="B5574" i="1"/>
  <c r="B13906" i="1"/>
  <c r="B5108" i="1"/>
  <c r="B8721" i="1"/>
  <c r="B2760" i="1"/>
  <c r="B13210" i="1"/>
  <c r="B5519" i="1"/>
  <c r="B4429" i="1"/>
  <c r="B5490" i="1"/>
  <c r="B12997" i="1"/>
  <c r="B4882" i="1"/>
  <c r="B5053" i="1"/>
  <c r="B2489" i="1"/>
  <c r="B10136" i="1"/>
  <c r="B4915" i="1"/>
  <c r="B13505" i="1"/>
  <c r="B12140" i="1"/>
  <c r="B13061" i="1"/>
  <c r="B13678" i="1"/>
  <c r="B10676" i="1"/>
  <c r="B11535" i="1"/>
  <c r="B6882" i="1"/>
  <c r="B4777" i="1"/>
  <c r="B11468" i="1"/>
  <c r="B3517" i="1"/>
  <c r="B1924" i="1"/>
  <c r="B10709" i="1"/>
  <c r="B4904" i="1"/>
  <c r="B3279" i="1"/>
  <c r="B5065" i="1"/>
  <c r="B4579" i="1"/>
  <c r="B2083" i="1"/>
  <c r="B2689" i="1"/>
  <c r="B6905" i="1"/>
  <c r="B1175" i="1"/>
  <c r="B5507" i="1"/>
  <c r="B4192" i="1"/>
  <c r="B5122" i="1"/>
  <c r="B14335" i="1"/>
  <c r="B17980" i="1"/>
  <c r="B5098" i="1"/>
  <c r="B4390" i="1"/>
  <c r="B13438" i="1"/>
  <c r="B3069" i="1"/>
  <c r="B12184" i="1"/>
  <c r="B14028" i="1"/>
  <c r="B2135" i="1"/>
  <c r="B280" i="1"/>
  <c r="B4396" i="1"/>
  <c r="B12709" i="1"/>
  <c r="B7888" i="1"/>
  <c r="B10308" i="1"/>
  <c r="B13290" i="1"/>
  <c r="B11590" i="1"/>
  <c r="B2295" i="1"/>
  <c r="B11078" i="1"/>
  <c r="B8372" i="1"/>
  <c r="B5585" i="1"/>
  <c r="B11388" i="1"/>
  <c r="B11922" i="1"/>
  <c r="B14694" i="1"/>
  <c r="B2435" i="1"/>
  <c r="B13666" i="1"/>
  <c r="B4347" i="1"/>
  <c r="B3026" i="1"/>
  <c r="B3655" i="1"/>
  <c r="B4578" i="1"/>
  <c r="B1333" i="1"/>
  <c r="B1277" i="1"/>
  <c r="B13923" i="1"/>
  <c r="B1848" i="1"/>
  <c r="B8797" i="1"/>
  <c r="B12464" i="1"/>
  <c r="B2468" i="1"/>
  <c r="B10625" i="1"/>
  <c r="B12018" i="1"/>
  <c r="B13024" i="1"/>
  <c r="B14871" i="1"/>
  <c r="B1537" i="1"/>
  <c r="B14449" i="1"/>
  <c r="B11502" i="1"/>
  <c r="B15385" i="1"/>
  <c r="B5166" i="1"/>
  <c r="B7206" i="1"/>
  <c r="B11962" i="1"/>
  <c r="B10993" i="1"/>
  <c r="B3950" i="1"/>
  <c r="B6731" i="1"/>
  <c r="B1530" i="1"/>
  <c r="B5233" i="1"/>
  <c r="B2164" i="1"/>
  <c r="B510" i="1"/>
  <c r="B4459" i="1"/>
  <c r="B4200" i="1"/>
  <c r="B4190" i="1"/>
  <c r="B12741" i="1"/>
  <c r="B12317" i="1"/>
  <c r="B11954" i="1"/>
  <c r="B17260" i="1"/>
  <c r="B1801" i="1"/>
  <c r="B12186" i="1"/>
  <c r="B1983" i="1"/>
  <c r="B17845" i="1"/>
  <c r="B4325" i="1"/>
  <c r="B2104" i="1"/>
  <c r="B7575" i="1"/>
  <c r="B5090" i="1"/>
  <c r="B5818" i="1"/>
  <c r="B5540" i="1"/>
  <c r="B11129" i="1"/>
  <c r="B10403" i="1"/>
  <c r="B12001" i="1"/>
  <c r="B181" i="1"/>
  <c r="B4754" i="1"/>
  <c r="B13545" i="1"/>
  <c r="B11618" i="1"/>
  <c r="B14868" i="1"/>
  <c r="B2681" i="1"/>
  <c r="B11130" i="1"/>
  <c r="B10501" i="1"/>
  <c r="B3666" i="1"/>
  <c r="B4087" i="1"/>
  <c r="B10863" i="1"/>
  <c r="B1710" i="1"/>
  <c r="B11311" i="1"/>
  <c r="B13599" i="1"/>
  <c r="B13094" i="1"/>
  <c r="B14229" i="1"/>
  <c r="B12729" i="1"/>
  <c r="B4450" i="1"/>
  <c r="B4093" i="1"/>
  <c r="B6658" i="1"/>
  <c r="B2252" i="1"/>
  <c r="B799" i="1"/>
  <c r="B6847" i="1"/>
  <c r="B3050" i="1"/>
  <c r="B6850" i="1"/>
  <c r="B15980" i="1"/>
  <c r="B6732" i="1"/>
  <c r="B4251" i="1"/>
  <c r="B8410" i="1"/>
  <c r="B5819" i="1"/>
  <c r="B11605" i="1"/>
  <c r="B4320" i="1"/>
  <c r="B1486" i="1"/>
  <c r="B4935" i="1"/>
  <c r="B12816" i="1"/>
  <c r="B4478" i="1"/>
  <c r="B1797" i="1"/>
  <c r="B182" i="1"/>
  <c r="B14879" i="1"/>
  <c r="B88" i="1"/>
  <c r="B10856" i="1"/>
  <c r="B816" i="1"/>
  <c r="B1253" i="1"/>
  <c r="B44" i="1"/>
  <c r="B5099" i="1"/>
  <c r="B8096" i="1"/>
  <c r="B4997" i="1"/>
  <c r="B5234" i="1"/>
  <c r="B8856" i="1"/>
  <c r="B10259" i="1"/>
  <c r="B7903" i="1"/>
  <c r="B9082" i="1"/>
  <c r="B5244" i="1"/>
  <c r="B6472" i="1"/>
  <c r="B17899" i="1"/>
  <c r="B12810" i="1"/>
  <c r="B9259" i="1"/>
  <c r="B2759" i="1"/>
  <c r="B12651" i="1"/>
  <c r="B857" i="1"/>
  <c r="B14149" i="1"/>
  <c r="B1761" i="1"/>
  <c r="B1292" i="1"/>
  <c r="B14464" i="1"/>
  <c r="B5812" i="1"/>
  <c r="B12764" i="1"/>
  <c r="B3508" i="1"/>
  <c r="B13000" i="1"/>
  <c r="B228" i="1"/>
  <c r="B7393" i="1"/>
  <c r="B8572" i="1"/>
  <c r="B1951" i="1"/>
  <c r="B367" i="1"/>
  <c r="B7283" i="1"/>
  <c r="B7392" i="1"/>
  <c r="B7345" i="1"/>
  <c r="B11522" i="1"/>
  <c r="B12719" i="1"/>
  <c r="B12985" i="1"/>
  <c r="B12040" i="1"/>
  <c r="B3769" i="1"/>
  <c r="B4221" i="1"/>
  <c r="B3781" i="1"/>
  <c r="B13484" i="1"/>
  <c r="B12028" i="1"/>
  <c r="B12980" i="1"/>
  <c r="B12728" i="1"/>
  <c r="B12416" i="1"/>
  <c r="B12017" i="1"/>
  <c r="B1245" i="1"/>
  <c r="B12931" i="1"/>
  <c r="B12023" i="1"/>
  <c r="B13375" i="1"/>
  <c r="B5265" i="1"/>
  <c r="B12054" i="1"/>
  <c r="B8554" i="1"/>
  <c r="B11092" i="1"/>
  <c r="B3861" i="1"/>
  <c r="B11923" i="1"/>
  <c r="B15545" i="1"/>
  <c r="B1833" i="1"/>
  <c r="B2921" i="1"/>
  <c r="B5796" i="1"/>
  <c r="B11290" i="1"/>
  <c r="B12025" i="1"/>
  <c r="B5296" i="1"/>
  <c r="B17917" i="1"/>
  <c r="B17998" i="1"/>
  <c r="B1117" i="1"/>
  <c r="B11909" i="1"/>
  <c r="B11127" i="1"/>
  <c r="B5157" i="1"/>
  <c r="B5328" i="1"/>
  <c r="B13767" i="1"/>
  <c r="B8063" i="1"/>
  <c r="B7229" i="1"/>
  <c r="B13076" i="1"/>
  <c r="B15432" i="1"/>
  <c r="B9979" i="1"/>
  <c r="B17966" i="1"/>
  <c r="B4104" i="1"/>
  <c r="B12778" i="1"/>
  <c r="B2491" i="1"/>
  <c r="B9436" i="1"/>
  <c r="B6549" i="1"/>
  <c r="B12638" i="1"/>
  <c r="B13194" i="1"/>
  <c r="B6741" i="1"/>
  <c r="B2423" i="1"/>
  <c r="B4038" i="1"/>
  <c r="B13535" i="1"/>
  <c r="B13510" i="1"/>
  <c r="B13660" i="1"/>
  <c r="B10442" i="1"/>
  <c r="B7947" i="1"/>
  <c r="B10779" i="1"/>
  <c r="B2830" i="1"/>
  <c r="B16837" i="1"/>
  <c r="B3778" i="1"/>
  <c r="B6650" i="1"/>
  <c r="B3383" i="1"/>
  <c r="B8159" i="1"/>
  <c r="B4022" i="1"/>
  <c r="B11473" i="1"/>
  <c r="B13728" i="1"/>
  <c r="B14297" i="1"/>
  <c r="B5154" i="1"/>
  <c r="B13732" i="1"/>
  <c r="B14654" i="1"/>
  <c r="B13588" i="1"/>
  <c r="B10338" i="1"/>
  <c r="B14573" i="1"/>
  <c r="B3151" i="1"/>
  <c r="B4826" i="1"/>
  <c r="B15742" i="1"/>
  <c r="B3007" i="1"/>
  <c r="B4435" i="1"/>
  <c r="B1949" i="1"/>
  <c r="B2753" i="1"/>
  <c r="B14308" i="1"/>
  <c r="B14093" i="1"/>
  <c r="B2570" i="1"/>
  <c r="B15152" i="1"/>
  <c r="B10514" i="1"/>
  <c r="B4641" i="1"/>
  <c r="B7370" i="1"/>
  <c r="B4306" i="1"/>
  <c r="B12134" i="1"/>
  <c r="B3701" i="1"/>
  <c r="B3680" i="1"/>
  <c r="B4775" i="1"/>
  <c r="B11242" i="1"/>
  <c r="B5043" i="1"/>
  <c r="B9012" i="1"/>
  <c r="B8001" i="1"/>
  <c r="B2292" i="1"/>
  <c r="B5281" i="1"/>
  <c r="B8441" i="1"/>
  <c r="B6951" i="1"/>
  <c r="B7584" i="1"/>
  <c r="B14745" i="1"/>
  <c r="B4127" i="1"/>
  <c r="B3892" i="1"/>
  <c r="B4084" i="1"/>
  <c r="B10685" i="1"/>
  <c r="B564" i="1"/>
  <c r="B7081" i="1"/>
  <c r="B4534" i="1"/>
  <c r="B12875" i="1"/>
  <c r="B11642" i="1"/>
  <c r="B4128" i="1"/>
  <c r="B4272" i="1"/>
  <c r="B5780" i="1"/>
  <c r="B5705" i="1"/>
  <c r="B5707" i="1"/>
  <c r="B12212" i="1"/>
  <c r="B10797" i="1"/>
  <c r="B11113" i="1"/>
  <c r="B13314" i="1"/>
  <c r="B10393" i="1"/>
  <c r="B2849" i="1"/>
  <c r="B6940" i="1"/>
  <c r="B9534" i="1"/>
  <c r="B17910" i="1"/>
  <c r="B3967" i="1"/>
  <c r="B12435" i="1"/>
  <c r="B14812" i="1"/>
  <c r="B7632" i="1"/>
  <c r="B4576" i="1"/>
  <c r="B12734" i="1"/>
  <c r="B15096" i="1"/>
  <c r="B13924" i="1"/>
  <c r="B8072" i="1"/>
  <c r="B13670" i="1"/>
  <c r="B12992" i="1"/>
  <c r="B748" i="1"/>
  <c r="B3791" i="1"/>
  <c r="B8454" i="1"/>
  <c r="B10677" i="1"/>
  <c r="B13100" i="1"/>
  <c r="B8348" i="1"/>
  <c r="B16864" i="1"/>
  <c r="B4047" i="1"/>
  <c r="B9033" i="1"/>
  <c r="B11638" i="1"/>
  <c r="B4686" i="1"/>
  <c r="B8869" i="1"/>
  <c r="B6104" i="1"/>
  <c r="B9406" i="1"/>
  <c r="B3830" i="1"/>
  <c r="B11080" i="1"/>
  <c r="B8354" i="1"/>
  <c r="B4813" i="1"/>
  <c r="B9308" i="1"/>
  <c r="B10837" i="1"/>
  <c r="B12920" i="1"/>
  <c r="B13634" i="1"/>
  <c r="B13406" i="1"/>
  <c r="B13802" i="1"/>
  <c r="B15064" i="1"/>
  <c r="B4453" i="1"/>
  <c r="B11995" i="1"/>
  <c r="B12439" i="1"/>
  <c r="B12792" i="1"/>
  <c r="B279" i="1"/>
  <c r="B13204" i="1"/>
  <c r="B7057" i="1"/>
  <c r="B171" i="1"/>
  <c r="B11328" i="1"/>
  <c r="B13583" i="1"/>
  <c r="B11000" i="1"/>
  <c r="B6190" i="1"/>
  <c r="B4316" i="1"/>
  <c r="B14761" i="1"/>
  <c r="B5947" i="1"/>
  <c r="B17173" i="1"/>
  <c r="B12612" i="1"/>
  <c r="B14562" i="1"/>
  <c r="B10762" i="1"/>
  <c r="B12292" i="1"/>
  <c r="B2696" i="1"/>
  <c r="B12962" i="1"/>
  <c r="B4017" i="1"/>
  <c r="B8933" i="1"/>
  <c r="B10707" i="1"/>
  <c r="B1263" i="1"/>
  <c r="B4468" i="1"/>
  <c r="B7783" i="1"/>
  <c r="B13578" i="1"/>
  <c r="B2711" i="1"/>
  <c r="B6535" i="1"/>
  <c r="B12943" i="1"/>
  <c r="B1500" i="1"/>
  <c r="B13395" i="1"/>
  <c r="B544" i="1"/>
  <c r="B4132" i="1"/>
  <c r="B8806" i="1"/>
  <c r="B14498" i="1"/>
  <c r="B12658" i="1"/>
  <c r="B10916" i="1"/>
  <c r="B8360" i="1"/>
  <c r="B5900" i="1"/>
  <c r="B5890" i="1"/>
  <c r="B8378" i="1"/>
  <c r="B5889" i="1"/>
  <c r="B9967" i="1"/>
  <c r="B7075" i="1"/>
  <c r="B12949" i="1"/>
  <c r="B13553" i="1"/>
  <c r="B7519" i="1"/>
  <c r="B15031" i="1"/>
  <c r="B15679" i="1"/>
  <c r="B15088" i="1"/>
  <c r="B12179" i="1"/>
  <c r="B2237" i="1"/>
  <c r="B11146" i="1"/>
  <c r="B12989" i="1"/>
  <c r="B2431" i="1"/>
  <c r="B6314" i="1"/>
  <c r="B7945" i="1"/>
  <c r="B14090" i="1"/>
  <c r="B770" i="1"/>
  <c r="B13244" i="1"/>
  <c r="B12390" i="1"/>
  <c r="B538" i="1"/>
  <c r="B6481" i="1"/>
  <c r="B3024" i="1"/>
  <c r="B6680" i="1"/>
  <c r="B14105" i="1"/>
  <c r="B1854" i="1"/>
  <c r="B12633" i="1"/>
  <c r="B6669" i="1"/>
  <c r="B11186" i="1"/>
  <c r="B5209" i="1"/>
  <c r="B17779" i="1"/>
  <c r="B5368" i="1"/>
  <c r="B10425" i="1"/>
  <c r="B5412" i="1"/>
  <c r="B14740" i="1"/>
  <c r="B13448" i="1"/>
  <c r="B10471" i="1"/>
  <c r="B7822" i="1"/>
  <c r="B10168" i="1"/>
  <c r="B10414" i="1"/>
  <c r="B7875" i="1"/>
  <c r="B4771" i="1"/>
  <c r="B6582" i="1"/>
  <c r="B801" i="1"/>
  <c r="B4213" i="1"/>
  <c r="B12282" i="1"/>
  <c r="B17606" i="1"/>
  <c r="B7817" i="1"/>
  <c r="B7911" i="1"/>
  <c r="B8277" i="1"/>
  <c r="B12885" i="1"/>
  <c r="B6730" i="1"/>
  <c r="B13465" i="1"/>
  <c r="B10654" i="1"/>
  <c r="B12928" i="1"/>
  <c r="B4544" i="1"/>
  <c r="B2069" i="1"/>
  <c r="B13704" i="1"/>
  <c r="B11720" i="1"/>
  <c r="B12137" i="1"/>
  <c r="B16025" i="1"/>
  <c r="B10198" i="1"/>
  <c r="B231" i="1"/>
  <c r="B8069" i="1"/>
  <c r="B1282" i="1"/>
  <c r="B12506" i="1"/>
  <c r="B11517" i="1"/>
  <c r="B15986" i="1"/>
  <c r="B10703" i="1"/>
  <c r="B10543" i="1"/>
  <c r="B5194" i="1"/>
  <c r="B8982" i="1"/>
  <c r="B10177" i="1"/>
  <c r="B6616" i="1"/>
  <c r="B9032" i="1"/>
  <c r="B14441" i="1"/>
  <c r="B16594" i="1"/>
  <c r="B12056" i="1"/>
  <c r="B143" i="1"/>
  <c r="B13082" i="1"/>
  <c r="B9887" i="1"/>
  <c r="B14604" i="1"/>
  <c r="B1061" i="1"/>
  <c r="B10452" i="1"/>
  <c r="B10516" i="1"/>
  <c r="B12002" i="1"/>
  <c r="B10733" i="1"/>
  <c r="B10213" i="1"/>
  <c r="B13404" i="1"/>
  <c r="B16738" i="1"/>
  <c r="B12488" i="1"/>
  <c r="B10130" i="1"/>
  <c r="B16090" i="1"/>
  <c r="B876" i="1"/>
  <c r="B13658" i="1"/>
  <c r="B7725" i="1"/>
  <c r="B152" i="1"/>
  <c r="B4531" i="1"/>
  <c r="B10649" i="1"/>
  <c r="B2601" i="1"/>
  <c r="B12407" i="1"/>
  <c r="B11857" i="1"/>
  <c r="B13023" i="1"/>
  <c r="B13462" i="1"/>
  <c r="B4041" i="1"/>
  <c r="B10772" i="1"/>
  <c r="B5567" i="1"/>
  <c r="B12180" i="1"/>
  <c r="B11520" i="1"/>
  <c r="B13790" i="1"/>
  <c r="B12116" i="1"/>
  <c r="B11919" i="1"/>
  <c r="B1548" i="1"/>
  <c r="B7000" i="1"/>
  <c r="B3998" i="1"/>
  <c r="B12944" i="1"/>
  <c r="B10610" i="1"/>
  <c r="B4285" i="1"/>
  <c r="B14363" i="1"/>
  <c r="B10409" i="1"/>
  <c r="B11166" i="1"/>
  <c r="B14000" i="1"/>
  <c r="B3569" i="1"/>
  <c r="B3180" i="1"/>
  <c r="B10864" i="1"/>
  <c r="B3319" i="1"/>
  <c r="B5181" i="1"/>
  <c r="B15019" i="1"/>
  <c r="B844" i="1"/>
  <c r="B5793" i="1"/>
  <c r="B4485" i="1"/>
  <c r="B114" i="1"/>
  <c r="B16411" i="1"/>
  <c r="B12566" i="1"/>
  <c r="B464" i="1"/>
  <c r="B1120" i="1"/>
  <c r="B14704" i="1"/>
  <c r="B16261" i="1"/>
  <c r="B3936" i="1"/>
  <c r="B3794" i="1"/>
  <c r="B13989" i="1"/>
  <c r="B10206" i="1"/>
  <c r="B2607" i="1"/>
  <c r="B15967" i="1"/>
  <c r="B3599" i="1"/>
  <c r="B14959" i="1"/>
  <c r="B14075" i="1"/>
  <c r="B14318" i="1"/>
  <c r="B14938" i="1"/>
  <c r="B7724" i="1"/>
  <c r="B16249" i="1"/>
  <c r="B7578" i="1"/>
  <c r="B14068" i="1"/>
  <c r="B6776" i="1"/>
  <c r="B6572" i="1"/>
  <c r="B2918" i="1"/>
  <c r="B12722" i="1"/>
  <c r="B1524" i="1"/>
  <c r="B4488" i="1"/>
  <c r="B12504" i="1"/>
  <c r="B7427" i="1"/>
  <c r="B13391" i="1"/>
  <c r="B11509" i="1"/>
  <c r="B3350" i="1"/>
  <c r="B7796" i="1"/>
  <c r="B2376" i="1"/>
  <c r="B12209" i="1"/>
  <c r="B11255" i="1"/>
  <c r="B9672" i="1"/>
  <c r="B4335" i="1"/>
  <c r="B7104" i="1"/>
  <c r="B10597" i="1"/>
  <c r="B3877" i="1"/>
  <c r="B10806" i="1"/>
  <c r="B8701" i="1"/>
  <c r="B5731" i="1"/>
  <c r="B6708" i="1"/>
  <c r="B12993" i="1"/>
  <c r="B10603" i="1"/>
  <c r="B4917" i="1"/>
  <c r="B6999" i="1"/>
  <c r="B11099" i="1"/>
  <c r="B590" i="1"/>
  <c r="B15523" i="1"/>
  <c r="B10439" i="1"/>
  <c r="B13737" i="1"/>
  <c r="B11675" i="1"/>
  <c r="B3000" i="1"/>
  <c r="B1089" i="1"/>
  <c r="B3982" i="1"/>
  <c r="B7860" i="1"/>
  <c r="B6103" i="1"/>
  <c r="B1571" i="1"/>
  <c r="B11580" i="1"/>
  <c r="B11763" i="1"/>
  <c r="B6686" i="1"/>
  <c r="B11363" i="1"/>
  <c r="B12716" i="1"/>
  <c r="B13091" i="1"/>
  <c r="B12030" i="1"/>
  <c r="B3497" i="1"/>
  <c r="B7402" i="1"/>
  <c r="B3730" i="1"/>
  <c r="B4585" i="1"/>
  <c r="B3994" i="1"/>
  <c r="B12420" i="1"/>
  <c r="B5082" i="1"/>
  <c r="B9451" i="1"/>
  <c r="B7765" i="1"/>
  <c r="B11858" i="1"/>
  <c r="B1826" i="1"/>
  <c r="B9494" i="1"/>
  <c r="B16317" i="1"/>
  <c r="B7791" i="1"/>
  <c r="B14489" i="1"/>
  <c r="B11056" i="1"/>
  <c r="B1110" i="1"/>
  <c r="B15059" i="1"/>
  <c r="B1740" i="1"/>
  <c r="B12670" i="1"/>
  <c r="B5105" i="1"/>
  <c r="B10029" i="1"/>
  <c r="B11180" i="1"/>
  <c r="B11667" i="1"/>
  <c r="B4731" i="1"/>
  <c r="B17992" i="1"/>
  <c r="B9351" i="1"/>
  <c r="B11467" i="1"/>
  <c r="B10230" i="1"/>
  <c r="B10427" i="1"/>
  <c r="B15891" i="1"/>
  <c r="B8912" i="1"/>
  <c r="B9782" i="1"/>
  <c r="B11036" i="1"/>
  <c r="B8906" i="1"/>
  <c r="B7673" i="1"/>
  <c r="B13340" i="1"/>
  <c r="B11880" i="1"/>
  <c r="B7178" i="1"/>
  <c r="B10017" i="1"/>
  <c r="B14685" i="1"/>
  <c r="B2526" i="1"/>
  <c r="B1935" i="1"/>
  <c r="B1605" i="1"/>
  <c r="B9190" i="1"/>
  <c r="B14521" i="1"/>
  <c r="B17944" i="1"/>
  <c r="B11660" i="1"/>
  <c r="B13705" i="1"/>
  <c r="B15104" i="1"/>
  <c r="B10163" i="1"/>
  <c r="B10796" i="1"/>
  <c r="B7811" i="1"/>
  <c r="B10639" i="1"/>
  <c r="B12684" i="1"/>
  <c r="B4195" i="1"/>
  <c r="B9658" i="1"/>
  <c r="B2102" i="1"/>
  <c r="B12762" i="1"/>
  <c r="B12617" i="1"/>
  <c r="B554" i="1"/>
  <c r="B6552" i="1"/>
  <c r="B11272" i="1"/>
  <c r="B4506" i="1"/>
  <c r="B13246" i="1"/>
  <c r="B12060" i="1"/>
  <c r="B13622" i="1"/>
  <c r="B13529" i="1"/>
  <c r="B815" i="1"/>
  <c r="B12086" i="1"/>
  <c r="B4458" i="1"/>
  <c r="B3867" i="1"/>
  <c r="B5229" i="1"/>
  <c r="B7329" i="1"/>
  <c r="B7282" i="1"/>
  <c r="B5924" i="1"/>
  <c r="B8121" i="1"/>
  <c r="B10351" i="1"/>
  <c r="B5851" i="1"/>
  <c r="B4619" i="1"/>
  <c r="B3919" i="1"/>
  <c r="B7317" i="1"/>
  <c r="B10433" i="1"/>
  <c r="B13262" i="1"/>
  <c r="B11145" i="1"/>
  <c r="B13196" i="1"/>
  <c r="B3571" i="1"/>
  <c r="B6986" i="1"/>
  <c r="B12797" i="1"/>
  <c r="B14377" i="1"/>
  <c r="B7820" i="1"/>
  <c r="B9456" i="1"/>
  <c r="B15862" i="1"/>
  <c r="B5000" i="1"/>
  <c r="B9721" i="1"/>
  <c r="B12459" i="1"/>
  <c r="B13207" i="1"/>
  <c r="B3170" i="1"/>
  <c r="B9181" i="1"/>
  <c r="B13534" i="1"/>
  <c r="B1975" i="1"/>
  <c r="B7079" i="1"/>
  <c r="B10822" i="1"/>
  <c r="B2591" i="1"/>
  <c r="B5283" i="1"/>
  <c r="B8390" i="1"/>
  <c r="B9167" i="1"/>
  <c r="B14637" i="1"/>
  <c r="B870" i="1"/>
  <c r="B12211" i="1"/>
  <c r="B12763" i="1"/>
  <c r="B13752" i="1"/>
  <c r="B7773" i="1"/>
  <c r="B6361" i="1"/>
  <c r="B12641" i="1"/>
  <c r="B10946" i="1"/>
  <c r="B12736" i="1"/>
  <c r="B11279" i="1"/>
  <c r="B13697" i="1"/>
  <c r="B5948" i="1"/>
  <c r="B9509" i="1"/>
  <c r="B12076" i="1"/>
  <c r="B12066" i="1"/>
  <c r="B11203" i="1"/>
  <c r="B9626" i="1"/>
  <c r="B4916" i="1"/>
  <c r="B5944" i="1"/>
  <c r="B1829" i="1"/>
  <c r="B14555" i="1"/>
  <c r="B5706" i="1"/>
  <c r="B3178" i="1"/>
  <c r="B14559" i="1"/>
  <c r="B12369" i="1"/>
  <c r="B14492" i="1"/>
  <c r="B4338" i="1"/>
  <c r="B13322" i="1"/>
  <c r="B4717" i="1"/>
  <c r="B9880" i="1"/>
  <c r="B13806" i="1"/>
  <c r="B1091" i="1"/>
  <c r="B14116" i="1"/>
  <c r="B12996" i="1"/>
  <c r="B14534" i="1"/>
  <c r="B13818" i="1"/>
  <c r="B1093" i="1"/>
  <c r="B5172" i="1"/>
  <c r="B11074" i="1"/>
  <c r="B12667" i="1"/>
  <c r="B5203" i="1"/>
  <c r="B16009" i="1"/>
  <c r="B14350" i="1"/>
  <c r="B13007" i="1"/>
  <c r="B14422" i="1"/>
  <c r="B5576" i="1"/>
  <c r="B6205" i="1"/>
  <c r="B5572" i="1"/>
  <c r="B12042" i="1"/>
  <c r="B15667" i="1"/>
  <c r="B5658" i="1"/>
  <c r="B6067" i="1"/>
  <c r="B5664" i="1"/>
  <c r="B5541" i="1"/>
  <c r="B11818" i="1"/>
  <c r="B14253" i="1"/>
  <c r="B5182" i="1"/>
  <c r="B3947" i="1"/>
  <c r="B10892" i="1"/>
  <c r="B17837" i="1"/>
  <c r="B15423" i="1"/>
  <c r="B13443" i="1"/>
  <c r="B11609" i="1"/>
  <c r="B5653" i="1"/>
  <c r="B2076" i="1"/>
  <c r="B3263" i="1"/>
  <c r="B7246" i="1"/>
  <c r="B5297" i="1"/>
  <c r="B2506" i="1"/>
  <c r="B11043" i="1"/>
  <c r="B8748" i="1"/>
  <c r="B7137" i="1"/>
  <c r="B2143" i="1"/>
  <c r="B8027" i="1"/>
  <c r="B7071" i="1"/>
  <c r="B5353" i="1"/>
  <c r="B1989" i="1"/>
  <c r="B8847" i="1"/>
  <c r="B3580" i="1"/>
  <c r="B3798" i="1"/>
  <c r="B3268" i="1"/>
  <c r="B2534" i="1"/>
  <c r="B13675" i="1"/>
  <c r="B8618" i="1"/>
  <c r="B11151" i="1"/>
  <c r="B1604" i="1"/>
  <c r="B8242" i="1"/>
  <c r="B11458" i="1"/>
  <c r="B7521" i="1"/>
  <c r="B5040" i="1"/>
  <c r="B3064" i="1"/>
  <c r="B8239" i="1"/>
  <c r="B7044" i="1"/>
  <c r="B14733" i="1"/>
  <c r="B2957" i="1"/>
  <c r="B5778" i="1"/>
  <c r="B3243" i="1"/>
  <c r="B8609" i="1"/>
  <c r="B14024" i="1"/>
  <c r="B13274" i="1"/>
  <c r="B12280" i="1"/>
  <c r="B2547" i="1"/>
  <c r="B14019" i="1"/>
  <c r="B6302" i="1"/>
  <c r="B10322" i="1"/>
  <c r="B12102" i="1"/>
  <c r="B2357" i="1"/>
  <c r="B11762" i="1"/>
  <c r="B4512" i="1"/>
  <c r="B10928" i="1"/>
  <c r="B10653" i="1"/>
  <c r="B7649" i="1"/>
  <c r="B3296" i="1"/>
  <c r="B7650" i="1"/>
  <c r="B14424" i="1"/>
  <c r="B10943" i="1"/>
  <c r="B11224" i="1"/>
  <c r="B3347" i="1"/>
  <c r="B11332" i="1"/>
  <c r="B12784" i="1"/>
  <c r="B5303" i="1"/>
  <c r="B10415" i="1"/>
  <c r="B12967" i="1"/>
  <c r="B14597" i="1"/>
  <c r="B14939" i="1"/>
  <c r="B7586" i="1"/>
  <c r="B5237" i="1"/>
  <c r="B12153" i="1"/>
  <c r="B198" i="1"/>
  <c r="B8394" i="1"/>
  <c r="B7994" i="1"/>
  <c r="B10246" i="1"/>
  <c r="B8066" i="1"/>
  <c r="B6419" i="1"/>
  <c r="B10656" i="1"/>
  <c r="B8996" i="1"/>
  <c r="B5191" i="1"/>
  <c r="B4584" i="1"/>
  <c r="B3101" i="1"/>
  <c r="B11143" i="1"/>
  <c r="B249" i="1"/>
  <c r="B10187" i="1"/>
  <c r="B4380" i="1"/>
  <c r="B6533" i="1"/>
  <c r="B5330" i="1"/>
  <c r="B15070" i="1"/>
  <c r="B15999" i="1"/>
  <c r="B1860" i="1"/>
  <c r="B11784" i="1"/>
  <c r="B6911" i="1"/>
  <c r="B10220" i="1"/>
  <c r="B1162" i="1"/>
  <c r="B1475" i="1"/>
  <c r="B5022" i="1"/>
  <c r="B1856" i="1"/>
  <c r="B10337" i="1"/>
  <c r="B11735" i="1"/>
  <c r="B13031" i="1"/>
  <c r="B6687" i="1"/>
  <c r="B11930" i="1"/>
  <c r="B7073" i="1"/>
  <c r="B13541" i="1"/>
  <c r="B1934" i="1"/>
  <c r="B3859" i="1"/>
  <c r="B4218" i="1"/>
  <c r="B14532" i="1"/>
  <c r="B3978" i="1"/>
  <c r="B12294" i="1"/>
  <c r="B12353" i="1"/>
  <c r="B1715" i="1"/>
  <c r="B522" i="1"/>
  <c r="B14739" i="1"/>
  <c r="B1561" i="1"/>
  <c r="B11260" i="1"/>
  <c r="B4461" i="1"/>
  <c r="B9124" i="1"/>
  <c r="B14291" i="1"/>
  <c r="B7087" i="1"/>
  <c r="B2235" i="1"/>
  <c r="B12909" i="1"/>
  <c r="B11906" i="1"/>
  <c r="B2612" i="1"/>
  <c r="B13657" i="1"/>
  <c r="B5792" i="1"/>
  <c r="B3854" i="1"/>
  <c r="B6625" i="1"/>
  <c r="B2013" i="1"/>
  <c r="B13659" i="1"/>
  <c r="B11295" i="1"/>
  <c r="B1627" i="1"/>
  <c r="B3955" i="1"/>
  <c r="B3648" i="1"/>
  <c r="B3829" i="1"/>
  <c r="B12388" i="1"/>
  <c r="B10960" i="1"/>
  <c r="B2843" i="1"/>
  <c r="B300" i="1"/>
  <c r="B11721" i="1"/>
  <c r="B6261" i="1"/>
  <c r="B8097" i="1"/>
  <c r="B11690" i="1"/>
  <c r="B12451" i="1"/>
  <c r="B6269" i="1"/>
  <c r="B11193" i="1"/>
  <c r="B9250" i="1"/>
  <c r="B2359" i="1"/>
  <c r="B2622" i="1"/>
  <c r="B4293" i="1"/>
  <c r="B11465" i="1"/>
  <c r="B15056" i="1"/>
  <c r="B8285" i="1"/>
  <c r="B10580" i="1"/>
  <c r="B15496" i="1"/>
  <c r="B13641" i="1"/>
  <c r="B17569" i="1"/>
  <c r="B11039" i="1"/>
  <c r="B14540" i="1"/>
  <c r="B10683" i="1"/>
  <c r="B2254" i="1"/>
  <c r="B1251" i="1"/>
  <c r="B11776" i="1"/>
  <c r="B17973" i="1"/>
  <c r="B1489" i="1"/>
  <c r="B17932" i="1"/>
  <c r="B14591" i="1"/>
  <c r="B8449" i="1"/>
  <c r="B4992" i="1"/>
  <c r="B1024" i="1"/>
  <c r="B13336" i="1"/>
  <c r="B4654" i="1"/>
  <c r="B16102" i="1"/>
  <c r="B3366" i="1"/>
  <c r="B15867" i="1"/>
  <c r="B15146" i="1"/>
  <c r="B13567" i="1"/>
  <c r="B8209" i="1"/>
  <c r="B3145" i="1"/>
  <c r="B2189" i="1"/>
  <c r="B8772" i="1"/>
  <c r="B3348" i="1"/>
  <c r="B390" i="1"/>
  <c r="B5486" i="1"/>
  <c r="B1246" i="1"/>
  <c r="B13045" i="1"/>
  <c r="B14742" i="1"/>
  <c r="B2691" i="1"/>
  <c r="B5673" i="1"/>
  <c r="B6018" i="1"/>
  <c r="B781" i="1"/>
  <c r="B10445" i="1"/>
  <c r="B4107" i="1"/>
  <c r="B4782" i="1"/>
  <c r="B5838" i="1"/>
  <c r="B8526" i="1"/>
  <c r="B8249" i="1"/>
  <c r="B3965" i="1"/>
  <c r="B6935" i="1"/>
  <c r="B6778" i="1"/>
  <c r="B13558" i="1"/>
  <c r="B274" i="1"/>
  <c r="B14087" i="1"/>
  <c r="B3248" i="1"/>
  <c r="B14985" i="1"/>
  <c r="B2363" i="1"/>
  <c r="B3530" i="1"/>
  <c r="B1962" i="1"/>
  <c r="B4589" i="1"/>
  <c r="B4558" i="1"/>
  <c r="B2495" i="1"/>
  <c r="B10389" i="1"/>
  <c r="B7694" i="1"/>
  <c r="B12192" i="1"/>
  <c r="B4350" i="1"/>
  <c r="B13970" i="1"/>
  <c r="B3986" i="1"/>
  <c r="B13547" i="1"/>
  <c r="B5012" i="1"/>
  <c r="B14292" i="1"/>
  <c r="B4643" i="1"/>
  <c r="B2931" i="1"/>
  <c r="B4310" i="1"/>
  <c r="B2177" i="1"/>
  <c r="B14765" i="1"/>
  <c r="B16136" i="1"/>
  <c r="B751" i="1"/>
  <c r="B535" i="1"/>
  <c r="B16154" i="1"/>
  <c r="B17364" i="1"/>
  <c r="B4750" i="1"/>
  <c r="B15192" i="1"/>
  <c r="B14446" i="1"/>
  <c r="B17344" i="1"/>
  <c r="B12183" i="1"/>
  <c r="B2281" i="1"/>
  <c r="B918" i="1"/>
  <c r="B9006" i="1"/>
  <c r="B6760" i="1"/>
  <c r="B11424" i="1"/>
  <c r="B9605" i="1"/>
  <c r="B1908" i="1"/>
  <c r="B17482" i="1"/>
  <c r="B17919" i="1"/>
  <c r="B13900" i="1"/>
  <c r="B3490" i="1"/>
  <c r="B12323" i="1"/>
  <c r="B10731" i="1"/>
  <c r="B7741" i="1"/>
  <c r="B341" i="1"/>
  <c r="B13600" i="1"/>
  <c r="B17925" i="1"/>
  <c r="B1403" i="1"/>
  <c r="B889" i="1"/>
  <c r="B13180" i="1"/>
  <c r="B1661" i="1"/>
  <c r="B15378" i="1"/>
  <c r="B5255" i="1"/>
  <c r="B4425" i="1"/>
  <c r="B3288" i="1"/>
  <c r="B5287" i="1"/>
  <c r="B4048" i="1"/>
  <c r="B11643" i="1"/>
  <c r="B7387" i="1"/>
  <c r="B11483" i="1"/>
  <c r="B1218" i="1"/>
  <c r="B8663" i="1"/>
  <c r="B3868" i="1"/>
  <c r="B2818" i="1"/>
  <c r="B4908" i="1"/>
  <c r="B5323" i="1"/>
  <c r="B13507" i="1"/>
  <c r="B1444" i="1"/>
  <c r="B7408" i="1"/>
  <c r="B11791" i="1"/>
  <c r="B11185" i="1"/>
  <c r="B5145" i="1"/>
  <c r="B8822" i="1"/>
  <c r="B10582" i="1"/>
  <c r="B6064" i="1"/>
  <c r="B12063" i="1"/>
  <c r="B4497" i="1"/>
  <c r="B2051" i="1"/>
  <c r="B3289" i="1"/>
  <c r="B6921" i="1"/>
  <c r="B3570" i="1"/>
  <c r="B4779" i="1"/>
  <c r="B805" i="1"/>
  <c r="B909" i="1"/>
  <c r="B8017" i="1"/>
  <c r="B4941" i="1"/>
  <c r="B3840" i="1"/>
  <c r="B2425" i="1"/>
  <c r="B6517" i="1"/>
  <c r="B12692" i="1"/>
  <c r="B10728" i="1"/>
  <c r="B5469" i="1"/>
  <c r="B13719" i="1"/>
  <c r="B13495" i="1"/>
  <c r="B13449" i="1"/>
  <c r="B13519" i="1"/>
  <c r="B3300" i="1"/>
  <c r="B11574" i="1"/>
  <c r="B8391" i="1"/>
  <c r="B12685" i="1"/>
  <c r="B872" i="1"/>
  <c r="B2734" i="1"/>
  <c r="B8852" i="1"/>
  <c r="B14913" i="1"/>
  <c r="B15435" i="1"/>
  <c r="B3282" i="1"/>
  <c r="B3584" i="1"/>
  <c r="B73" i="1"/>
  <c r="B3382" i="1"/>
  <c r="B2672" i="1"/>
  <c r="B9330" i="1"/>
  <c r="B15046" i="1"/>
  <c r="B2835" i="1"/>
  <c r="B3220" i="1"/>
  <c r="B2972" i="1"/>
  <c r="B15504" i="1"/>
  <c r="B3304" i="1"/>
  <c r="B1640" i="1"/>
  <c r="B2995" i="1"/>
  <c r="B3823" i="1"/>
  <c r="B5136" i="1"/>
  <c r="B14469" i="1"/>
  <c r="B600" i="1"/>
  <c r="B1652" i="1"/>
  <c r="B15078" i="1"/>
  <c r="B1660" i="1"/>
  <c r="B14772" i="1"/>
  <c r="B14716" i="1"/>
  <c r="B2364" i="1"/>
  <c r="B14386" i="1"/>
  <c r="B3514" i="1"/>
  <c r="B15779" i="1"/>
  <c r="B3424" i="1"/>
  <c r="B9261" i="1"/>
  <c r="B1439" i="1"/>
  <c r="B14378" i="1"/>
  <c r="B3694" i="1"/>
  <c r="B2846" i="1"/>
  <c r="B4921" i="1"/>
  <c r="B2638" i="1"/>
  <c r="B9540" i="1"/>
  <c r="B14357" i="1"/>
  <c r="B3084" i="1"/>
  <c r="B3059" i="1"/>
  <c r="B9001" i="1"/>
  <c r="B336" i="1"/>
  <c r="B17982" i="1"/>
  <c r="B3182" i="1"/>
  <c r="B16318" i="1"/>
  <c r="B14343" i="1"/>
  <c r="B7403" i="1"/>
  <c r="B10150" i="1"/>
  <c r="B1666" i="1"/>
  <c r="B14960" i="1"/>
  <c r="B3210" i="1"/>
  <c r="B2808" i="1"/>
  <c r="B2912" i="1"/>
  <c r="B14810" i="1"/>
  <c r="B405" i="1"/>
  <c r="B3481" i="1"/>
  <c r="B2889" i="1"/>
  <c r="B1676" i="1"/>
  <c r="B15021" i="1"/>
  <c r="B9980" i="1"/>
  <c r="B14622" i="1"/>
  <c r="B2925" i="1"/>
  <c r="B2965" i="1"/>
  <c r="B2550" i="1"/>
  <c r="B3264" i="1"/>
  <c r="B5968" i="1"/>
  <c r="B3825" i="1"/>
  <c r="B15856" i="1"/>
  <c r="B17933" i="1"/>
  <c r="B2652" i="1"/>
  <c r="B1481" i="1"/>
  <c r="B14866" i="1"/>
  <c r="B14787" i="1"/>
  <c r="B14805" i="1"/>
  <c r="B14373" i="1"/>
  <c r="B17928" i="1"/>
  <c r="B3093" i="1"/>
  <c r="B13772" i="1"/>
  <c r="B14266" i="1"/>
  <c r="B14921" i="1"/>
  <c r="B3029" i="1"/>
  <c r="B15609" i="1"/>
  <c r="B1634" i="1"/>
  <c r="B4849" i="1"/>
  <c r="B14673" i="1"/>
  <c r="B14338" i="1"/>
  <c r="B2877" i="1"/>
  <c r="B15071" i="1"/>
  <c r="B10110" i="1"/>
  <c r="B7" i="1"/>
  <c r="B2781" i="1"/>
  <c r="B3102" i="1"/>
  <c r="B3273" i="1"/>
  <c r="B14839" i="1"/>
  <c r="B3068" i="1"/>
  <c r="B14193" i="1"/>
  <c r="B2682" i="1"/>
  <c r="B156" i="1"/>
  <c r="B2885" i="1"/>
  <c r="B13840" i="1"/>
  <c r="B3560" i="1"/>
  <c r="B1691" i="1"/>
  <c r="B15045" i="1"/>
  <c r="B15143" i="1"/>
  <c r="B2831" i="1"/>
  <c r="B2892" i="1"/>
  <c r="B2560" i="1"/>
  <c r="B15101" i="1"/>
  <c r="B967" i="1"/>
  <c r="B2620" i="1"/>
  <c r="B3635" i="1"/>
  <c r="B2229" i="1"/>
  <c r="B3140" i="1"/>
  <c r="B1587" i="1"/>
  <c r="B7274" i="1"/>
  <c r="B2659" i="1"/>
  <c r="B3491" i="1"/>
  <c r="B3095" i="1"/>
  <c r="B4774" i="1"/>
  <c r="B3436" i="1"/>
  <c r="B3202" i="1"/>
  <c r="B3022" i="1"/>
  <c r="B2263" i="1"/>
  <c r="B3012" i="1"/>
  <c r="B3439" i="1"/>
  <c r="B8846" i="1"/>
  <c r="B3492" i="1"/>
  <c r="B11071" i="1"/>
  <c r="B14349" i="1"/>
  <c r="B1846" i="1"/>
  <c r="B8561" i="1"/>
  <c r="B2829" i="1"/>
  <c r="B14365" i="1"/>
  <c r="B2838" i="1"/>
  <c r="B3716" i="1"/>
  <c r="B2671" i="1"/>
  <c r="B14400" i="1"/>
  <c r="B8735" i="1"/>
  <c r="B14760" i="1"/>
  <c r="B3600" i="1"/>
  <c r="B2988" i="1"/>
  <c r="B9647" i="1"/>
  <c r="B3452" i="1"/>
  <c r="B10422" i="1"/>
  <c r="B13911" i="1"/>
  <c r="B1825" i="1"/>
  <c r="B8804" i="1"/>
  <c r="B1663" i="1"/>
  <c r="B8156" i="1"/>
  <c r="B3529" i="1"/>
  <c r="B1689" i="1"/>
  <c r="B3643" i="1"/>
  <c r="B14298" i="1"/>
  <c r="B15525" i="1"/>
  <c r="B3251" i="1"/>
  <c r="B10976" i="1"/>
  <c r="B15226" i="1"/>
  <c r="B3245" i="1"/>
  <c r="B2854" i="1"/>
  <c r="B3286" i="1"/>
  <c r="B2277" i="1"/>
  <c r="B2305" i="1"/>
  <c r="B1053" i="1"/>
  <c r="B15061" i="1"/>
  <c r="B3456" i="1"/>
  <c r="B15109" i="1"/>
  <c r="B1835" i="1"/>
  <c r="B3184" i="1"/>
  <c r="B3343" i="1"/>
  <c r="B1823" i="1"/>
  <c r="B9816" i="1"/>
  <c r="B15110" i="1"/>
  <c r="B8166" i="1"/>
  <c r="B3233" i="1"/>
  <c r="B14995" i="1"/>
  <c r="B17920" i="1"/>
  <c r="B5249" i="1"/>
  <c r="B17923" i="1"/>
  <c r="B3194" i="1"/>
  <c r="B3557" i="1"/>
  <c r="B5311" i="1"/>
  <c r="B2823" i="1"/>
  <c r="B15080" i="1"/>
  <c r="B2602" i="1"/>
  <c r="B15107" i="1"/>
  <c r="B6224" i="1"/>
  <c r="B3231" i="1"/>
  <c r="B3079" i="1"/>
  <c r="B15087" i="1"/>
  <c r="B3257" i="1"/>
  <c r="B1670" i="1"/>
  <c r="B1672" i="1"/>
  <c r="B14069" i="1"/>
  <c r="B7269" i="1"/>
  <c r="B13805" i="1"/>
  <c r="B14651" i="1"/>
  <c r="B15093" i="1"/>
  <c r="B15162" i="1"/>
  <c r="B2269" i="1"/>
  <c r="B15055" i="1"/>
  <c r="B3311" i="1"/>
  <c r="B2915" i="1"/>
  <c r="B3114" i="1"/>
  <c r="B15057" i="1"/>
  <c r="B1859" i="1"/>
  <c r="B3685" i="1"/>
  <c r="B14099" i="1"/>
  <c r="B16638" i="1"/>
  <c r="B673" i="1"/>
  <c r="B16112" i="1"/>
  <c r="B16761" i="1"/>
  <c r="B7813" i="1"/>
  <c r="B16987" i="1"/>
  <c r="B7942" i="1"/>
  <c r="B16819" i="1"/>
  <c r="B383" i="1"/>
  <c r="B3133" i="1"/>
  <c r="B8280" i="1"/>
  <c r="B14085" i="1"/>
  <c r="B15235" i="1"/>
  <c r="B8726" i="1"/>
  <c r="B17073" i="1"/>
  <c r="B9944" i="1"/>
  <c r="B16590" i="1"/>
  <c r="B17341" i="1"/>
  <c r="B9755" i="1"/>
  <c r="B6583" i="1"/>
  <c r="B6305" i="1"/>
  <c r="B8556" i="1"/>
  <c r="B17641" i="1"/>
  <c r="B9977" i="1"/>
  <c r="B15323" i="1"/>
  <c r="B14107" i="1"/>
  <c r="B761" i="1"/>
  <c r="B16395" i="1"/>
  <c r="B107" i="1"/>
  <c r="B17351" i="1"/>
  <c r="B16776" i="1"/>
  <c r="B8155" i="1"/>
  <c r="B17190" i="1"/>
  <c r="B7573" i="1"/>
  <c r="B9643" i="1"/>
  <c r="B9445" i="1"/>
  <c r="B10102" i="1"/>
  <c r="B1855" i="1"/>
  <c r="B15670" i="1"/>
  <c r="B14646" i="1"/>
  <c r="B16899" i="1"/>
  <c r="B7920" i="1"/>
  <c r="B7207" i="1"/>
  <c r="B15436" i="1"/>
  <c r="B16007" i="1"/>
  <c r="B16742" i="1"/>
  <c r="B15537" i="1"/>
  <c r="B16450" i="1"/>
  <c r="B7474" i="1"/>
  <c r="B17154" i="1"/>
  <c r="B14199" i="1"/>
  <c r="B17398" i="1"/>
  <c r="B623" i="1"/>
  <c r="B6458" i="1"/>
  <c r="B7271" i="1"/>
  <c r="B9134" i="1"/>
  <c r="B13800" i="1"/>
  <c r="B15595" i="1"/>
  <c r="B6513" i="1"/>
  <c r="B5231" i="1"/>
  <c r="B9361" i="1"/>
  <c r="B572" i="1"/>
  <c r="B4688" i="1"/>
  <c r="B10186" i="1"/>
  <c r="B6387" i="1"/>
  <c r="B16339" i="1"/>
  <c r="B1391" i="1"/>
  <c r="B9252" i="1"/>
  <c r="B6002" i="1"/>
  <c r="B5969" i="1"/>
  <c r="B6253" i="1"/>
  <c r="B9945" i="1"/>
  <c r="B674" i="1"/>
  <c r="B6176" i="1"/>
  <c r="B17319" i="1"/>
  <c r="B6466" i="1"/>
  <c r="B15780" i="1"/>
  <c r="B908" i="1"/>
  <c r="B17650" i="1"/>
  <c r="B5691" i="1"/>
  <c r="B10983" i="1"/>
  <c r="B6339" i="1"/>
  <c r="B9279" i="1"/>
  <c r="B1048" i="1"/>
  <c r="B16236" i="1"/>
  <c r="B16440" i="1"/>
  <c r="B9290" i="1"/>
  <c r="B16482" i="1"/>
  <c r="B17144" i="1"/>
  <c r="B16358" i="1"/>
  <c r="B14975" i="1"/>
  <c r="B17829" i="1"/>
  <c r="B8710" i="1"/>
  <c r="B354" i="1"/>
  <c r="B1303" i="1"/>
  <c r="B16446" i="1"/>
  <c r="B9162" i="1"/>
  <c r="B17421" i="1"/>
  <c r="B17008" i="1"/>
  <c r="B15168" i="1"/>
  <c r="B15065" i="1"/>
  <c r="B1221" i="1"/>
  <c r="B550" i="1"/>
  <c r="B589" i="1"/>
  <c r="B1473" i="1"/>
  <c r="B1725" i="1"/>
  <c r="B9614" i="1"/>
  <c r="B975" i="1"/>
  <c r="B9380" i="1"/>
  <c r="B8750" i="1"/>
  <c r="B305" i="1"/>
  <c r="B10918" i="1"/>
  <c r="B9970" i="1"/>
  <c r="B16700" i="1"/>
  <c r="B17686" i="1"/>
  <c r="B9177" i="1"/>
  <c r="B16197" i="1"/>
  <c r="B9151" i="1"/>
  <c r="B847" i="1"/>
  <c r="B9220" i="1"/>
  <c r="B16035" i="1"/>
  <c r="B13921" i="1"/>
  <c r="B14256" i="1"/>
  <c r="B15719" i="1"/>
  <c r="B8670" i="1"/>
  <c r="B15041" i="1"/>
  <c r="B8760" i="1"/>
  <c r="B15492" i="1"/>
  <c r="B15112" i="1"/>
  <c r="B7931" i="1"/>
  <c r="B14185" i="1"/>
  <c r="B429" i="1"/>
  <c r="B16604" i="1"/>
  <c r="B699" i="1"/>
  <c r="B17441" i="1"/>
  <c r="B10850" i="1"/>
  <c r="B9706" i="1"/>
  <c r="B14380" i="1"/>
  <c r="B9638" i="1"/>
  <c r="B16452" i="1"/>
  <c r="B10648" i="1"/>
  <c r="B16787" i="1"/>
  <c r="B16357" i="1"/>
  <c r="B7221" i="1"/>
  <c r="B9929" i="1"/>
  <c r="B15307" i="1"/>
  <c r="B562" i="1"/>
  <c r="B17185" i="1"/>
  <c r="B13823" i="1"/>
  <c r="B8686" i="1"/>
  <c r="B5980" i="1"/>
  <c r="B9883" i="1"/>
  <c r="B667" i="1"/>
  <c r="B10742" i="1"/>
  <c r="B6507" i="1"/>
  <c r="B16824" i="1"/>
  <c r="B9844" i="1"/>
  <c r="B9125" i="1"/>
  <c r="B16320" i="1"/>
  <c r="B5680" i="1"/>
  <c r="B5278" i="1"/>
  <c r="B17842" i="1"/>
  <c r="B14504" i="1"/>
  <c r="B16459" i="1"/>
  <c r="B14936" i="1"/>
  <c r="B16040" i="1"/>
  <c r="B6431" i="1"/>
  <c r="B8951" i="1"/>
  <c r="B16687" i="1"/>
  <c r="B14384" i="1"/>
  <c r="B16155" i="1"/>
  <c r="B8712" i="1"/>
  <c r="B8662" i="1"/>
  <c r="B10149" i="1"/>
  <c r="B16423" i="1"/>
  <c r="B7781" i="1"/>
  <c r="B7227" i="1"/>
  <c r="B6031" i="1"/>
  <c r="B5631" i="1"/>
  <c r="B5764" i="1"/>
  <c r="B819" i="1"/>
  <c r="B16248" i="1"/>
  <c r="B17181" i="1"/>
  <c r="B4535" i="1"/>
  <c r="B9394" i="1"/>
  <c r="B9060" i="1"/>
  <c r="B16879" i="1"/>
  <c r="B6333" i="1"/>
  <c r="B16815" i="1"/>
  <c r="B1751" i="1"/>
  <c r="B8580" i="1"/>
  <c r="B7358" i="1"/>
  <c r="B15301" i="1"/>
  <c r="B7247" i="1"/>
  <c r="B16478" i="1"/>
  <c r="B9246" i="1"/>
  <c r="B1009" i="1"/>
  <c r="B17802" i="1"/>
  <c r="B17230" i="1"/>
  <c r="B1298" i="1"/>
  <c r="B1382" i="1"/>
  <c r="B1406" i="1"/>
  <c r="B6192" i="1"/>
  <c r="B14145" i="1"/>
  <c r="B14749" i="1"/>
  <c r="B106" i="1"/>
  <c r="B17501" i="1"/>
  <c r="B9468" i="1"/>
  <c r="B9552" i="1"/>
  <c r="B7031" i="1"/>
  <c r="B15309" i="1"/>
  <c r="B17044" i="1"/>
  <c r="B9483" i="1"/>
  <c r="B9935" i="1"/>
  <c r="B14907" i="1"/>
  <c r="B16120" i="1"/>
  <c r="B15353" i="1"/>
  <c r="B5343" i="1"/>
  <c r="B6277" i="1"/>
  <c r="B6501" i="1"/>
  <c r="B8576" i="1"/>
  <c r="B3265" i="1"/>
  <c r="B8929" i="1"/>
  <c r="B16010" i="1"/>
  <c r="B8552" i="1"/>
  <c r="B7837" i="1"/>
  <c r="B14942" i="1"/>
  <c r="B3766" i="1"/>
  <c r="B7944" i="1"/>
  <c r="B9695" i="1"/>
  <c r="B6460" i="1"/>
  <c r="B2323" i="1"/>
  <c r="B16607" i="1"/>
  <c r="B15781" i="1"/>
  <c r="B17402" i="1"/>
  <c r="B14790" i="1"/>
  <c r="B2901" i="1"/>
  <c r="B8877" i="1"/>
  <c r="B17272" i="1"/>
  <c r="B17251" i="1"/>
  <c r="B16597" i="1"/>
  <c r="B999" i="1"/>
  <c r="B16048" i="1"/>
  <c r="B16915" i="1"/>
  <c r="B10181" i="1"/>
  <c r="B2099" i="1"/>
  <c r="B767" i="1"/>
  <c r="B17204" i="1"/>
  <c r="B16353" i="1"/>
  <c r="B14259" i="1"/>
  <c r="B1393" i="1"/>
  <c r="B15474" i="1"/>
  <c r="B585" i="1"/>
  <c r="B15127" i="1"/>
  <c r="B15769" i="1"/>
  <c r="B16832" i="1"/>
  <c r="B622" i="1"/>
  <c r="B17843" i="1"/>
  <c r="B926" i="1"/>
  <c r="B15193" i="1"/>
  <c r="B7245" i="1"/>
  <c r="B1356" i="1"/>
  <c r="B10060" i="1"/>
  <c r="B521" i="1"/>
  <c r="B15858" i="1"/>
  <c r="B747" i="1"/>
  <c r="B8314" i="1"/>
  <c r="B8791" i="1"/>
  <c r="B9110" i="1"/>
  <c r="B7236" i="1"/>
  <c r="B1320" i="1"/>
  <c r="B10196" i="1"/>
  <c r="B296" i="1"/>
  <c r="B31" i="1"/>
  <c r="B14254" i="1"/>
  <c r="B1591" i="1"/>
  <c r="B1766" i="1"/>
  <c r="B85" i="1"/>
  <c r="B8515" i="1"/>
  <c r="B17366" i="1"/>
  <c r="B6291" i="1"/>
  <c r="B5981" i="1"/>
  <c r="B9850" i="1"/>
  <c r="B16816" i="1"/>
  <c r="B17323" i="1"/>
  <c r="B15005" i="1"/>
  <c r="B1139" i="1"/>
  <c r="B740" i="1"/>
  <c r="B17357" i="1"/>
  <c r="B1038" i="1"/>
  <c r="B15734" i="1"/>
  <c r="B6620" i="1"/>
  <c r="B1363" i="1"/>
  <c r="B17516" i="1"/>
  <c r="B8983" i="1"/>
  <c r="B6463" i="1"/>
  <c r="B17053" i="1"/>
  <c r="B15738" i="1"/>
  <c r="B9869" i="1"/>
  <c r="B6474" i="1"/>
  <c r="B16855" i="1"/>
  <c r="B1201" i="1"/>
  <c r="B1157" i="1"/>
  <c r="B9608" i="1"/>
  <c r="B1516" i="1"/>
  <c r="B632" i="1"/>
  <c r="B7476" i="1"/>
  <c r="B7355" i="1"/>
  <c r="B7337" i="1"/>
  <c r="B8989" i="1"/>
  <c r="B9662" i="1"/>
  <c r="B15520" i="1"/>
  <c r="B14475" i="1"/>
  <c r="B16008" i="1"/>
  <c r="B8183" i="1"/>
  <c r="B14617" i="1"/>
  <c r="B17309" i="1"/>
  <c r="B17788" i="1"/>
  <c r="B507" i="1"/>
  <c r="B17672" i="1"/>
  <c r="B9109" i="1"/>
  <c r="B17519" i="1"/>
  <c r="B10663" i="1"/>
  <c r="B14240" i="1"/>
  <c r="B10064" i="1"/>
  <c r="B16076" i="1"/>
  <c r="B14990" i="1"/>
  <c r="B9407" i="1"/>
  <c r="B619" i="1"/>
  <c r="B4189" i="1"/>
  <c r="B17011" i="1"/>
  <c r="B1374" i="1"/>
  <c r="B8160" i="1"/>
  <c r="B16355" i="1"/>
  <c r="B2394" i="1"/>
  <c r="B17846" i="1"/>
  <c r="B11047" i="1"/>
  <c r="B5610" i="1"/>
  <c r="B17255" i="1"/>
  <c r="B8363" i="1"/>
  <c r="B7523" i="1"/>
  <c r="B7876" i="1"/>
  <c r="B7278" i="1"/>
  <c r="B16223" i="1"/>
  <c r="B8361" i="1"/>
  <c r="B8459" i="1"/>
  <c r="B218" i="1"/>
  <c r="B16250" i="1"/>
  <c r="B133" i="1"/>
  <c r="B8456" i="1"/>
  <c r="B4279" i="1"/>
  <c r="B8251" i="1"/>
  <c r="B15674" i="1"/>
  <c r="B9631" i="1"/>
  <c r="B14328" i="1"/>
  <c r="B14920" i="1"/>
  <c r="B9572" i="1"/>
  <c r="B6228" i="1"/>
  <c r="B8229" i="1"/>
  <c r="B16396" i="1"/>
  <c r="B945" i="1"/>
  <c r="B478" i="1"/>
  <c r="B1326" i="1"/>
  <c r="B14223" i="1"/>
  <c r="B149" i="1"/>
  <c r="B15617" i="1"/>
  <c r="B511" i="1"/>
  <c r="B15920" i="1"/>
  <c r="B16137" i="1"/>
  <c r="B8808" i="1"/>
  <c r="B6195" i="1"/>
  <c r="B7372" i="1"/>
  <c r="B15910" i="1"/>
  <c r="B6343" i="1"/>
  <c r="B15472" i="1"/>
  <c r="B7656" i="1"/>
  <c r="B1279" i="1"/>
  <c r="B15863" i="1"/>
  <c r="B10721" i="1"/>
  <c r="B9664" i="1"/>
  <c r="B9420" i="1"/>
  <c r="B1171" i="1"/>
  <c r="B15493" i="1"/>
  <c r="B14017" i="1"/>
  <c r="B15330" i="1"/>
  <c r="B14204" i="1"/>
  <c r="B9091" i="1"/>
  <c r="B17605" i="1"/>
  <c r="B6322" i="1"/>
  <c r="B7395" i="1"/>
  <c r="B6240" i="1"/>
  <c r="B17627" i="1"/>
  <c r="B16886" i="1"/>
  <c r="B9559" i="1"/>
  <c r="B17804" i="1"/>
  <c r="B16677" i="1"/>
  <c r="B5359" i="1"/>
  <c r="B17486" i="1"/>
  <c r="B9535" i="1"/>
  <c r="B17165" i="1"/>
  <c r="B17514" i="1"/>
  <c r="B17432" i="1"/>
  <c r="B10851" i="1"/>
  <c r="B17326" i="1"/>
  <c r="B1487" i="1"/>
  <c r="B15166" i="1"/>
  <c r="B9536" i="1"/>
  <c r="B9912" i="1"/>
  <c r="B17195" i="1"/>
  <c r="B10026" i="1"/>
  <c r="B9861" i="1"/>
  <c r="B9150" i="1"/>
  <c r="B16216" i="1"/>
  <c r="B10159" i="1"/>
  <c r="B8584" i="1"/>
  <c r="B17624" i="1"/>
  <c r="B823" i="1"/>
  <c r="B10568" i="1"/>
  <c r="B10095" i="1"/>
  <c r="B7928" i="1"/>
  <c r="B269" i="1"/>
  <c r="B6447" i="1"/>
  <c r="B17453" i="1"/>
  <c r="B16571" i="1"/>
  <c r="B16022" i="1"/>
  <c r="B6966" i="1"/>
  <c r="B15825" i="1"/>
  <c r="B2461" i="1"/>
  <c r="B17167" i="1"/>
  <c r="B17385" i="1"/>
  <c r="B495" i="1"/>
  <c r="B379" i="1"/>
  <c r="B993" i="1"/>
  <c r="B17268" i="1"/>
  <c r="B16800" i="1"/>
  <c r="B6006" i="1"/>
  <c r="B10001" i="1"/>
  <c r="B15422" i="1"/>
  <c r="B8680" i="1"/>
  <c r="B6354" i="1"/>
  <c r="B8907" i="1"/>
  <c r="B17329" i="1"/>
  <c r="B7858" i="1"/>
  <c r="B14129" i="1"/>
  <c r="B15710" i="1"/>
  <c r="B9142" i="1"/>
  <c r="B9901" i="1"/>
  <c r="B9565" i="1"/>
  <c r="B16441" i="1"/>
  <c r="B1392" i="1"/>
  <c r="B15688" i="1"/>
  <c r="B15933" i="1"/>
  <c r="B16498" i="1"/>
  <c r="B16999" i="1"/>
  <c r="B927" i="1"/>
  <c r="B17122" i="1"/>
  <c r="B9724" i="1"/>
  <c r="B5934" i="1"/>
  <c r="B6009" i="1"/>
  <c r="B15334" i="1"/>
  <c r="B14260" i="1"/>
  <c r="B15172" i="1"/>
  <c r="B9309" i="1"/>
  <c r="B665" i="1"/>
  <c r="B9156" i="1"/>
  <c r="B515" i="1"/>
  <c r="B1209" i="1"/>
  <c r="B17664" i="1"/>
  <c r="B15273" i="1"/>
  <c r="B7332" i="1"/>
  <c r="B16720" i="1"/>
  <c r="B17176" i="1"/>
  <c r="B14311" i="1"/>
  <c r="B8204" i="1"/>
  <c r="B16171" i="1"/>
  <c r="B17612" i="1"/>
  <c r="B15571" i="1"/>
  <c r="B14080" i="1"/>
  <c r="B15578" i="1"/>
  <c r="B2492" i="1"/>
  <c r="B14168" i="1"/>
  <c r="B737" i="1"/>
  <c r="B16187" i="1"/>
  <c r="B15529" i="1"/>
  <c r="B2458" i="1"/>
  <c r="B6965" i="1"/>
  <c r="B16493" i="1"/>
  <c r="B17767" i="1"/>
  <c r="B15306" i="1"/>
  <c r="B363" i="1"/>
  <c r="B1220" i="1"/>
  <c r="B17410" i="1"/>
  <c r="B17074" i="1"/>
  <c r="B15881" i="1"/>
  <c r="B17526" i="1"/>
  <c r="B7844" i="1"/>
  <c r="B6459" i="1"/>
  <c r="B8223" i="1"/>
  <c r="B8610" i="1"/>
  <c r="B17520" i="1"/>
  <c r="B17400" i="1"/>
  <c r="B718" i="1"/>
  <c r="B14056" i="1"/>
  <c r="B8357" i="1"/>
  <c r="B205" i="1"/>
  <c r="B5906" i="1"/>
  <c r="B15361" i="1"/>
  <c r="B16506" i="1"/>
  <c r="B15175" i="1"/>
  <c r="B8101" i="1"/>
  <c r="B7340" i="1"/>
  <c r="B6154" i="1"/>
  <c r="B10131" i="1"/>
  <c r="B6610" i="1"/>
  <c r="B17872" i="1"/>
  <c r="B14844" i="1"/>
  <c r="B16464" i="1"/>
  <c r="B2765" i="1"/>
  <c r="B17381" i="1"/>
  <c r="B15441" i="1"/>
  <c r="B8994" i="1"/>
  <c r="B7312" i="1"/>
  <c r="B17529" i="1"/>
  <c r="B16956" i="1"/>
  <c r="B7324" i="1"/>
  <c r="B8799" i="1"/>
  <c r="B13764" i="1"/>
  <c r="B3677" i="1"/>
  <c r="B9467" i="1"/>
  <c r="B6567" i="1"/>
  <c r="B16799" i="1"/>
  <c r="B10083" i="1"/>
  <c r="B6130" i="1"/>
  <c r="B17249" i="1"/>
  <c r="B8492" i="1"/>
  <c r="B17456" i="1"/>
  <c r="B9642" i="1"/>
  <c r="B16691" i="1"/>
  <c r="B1159" i="1"/>
  <c r="B16760" i="1"/>
  <c r="B15613" i="1"/>
  <c r="B6554" i="1"/>
  <c r="B16487" i="1"/>
  <c r="B15403" i="1"/>
  <c r="B15139" i="1"/>
  <c r="B16845" i="1"/>
  <c r="B8133" i="1"/>
  <c r="B9634" i="1"/>
  <c r="B15184" i="1"/>
  <c r="B8558" i="1"/>
  <c r="B7230" i="1"/>
  <c r="B86" i="1"/>
  <c r="B7803" i="1"/>
  <c r="B8638" i="1"/>
  <c r="B6681" i="1"/>
  <c r="B9680" i="1"/>
  <c r="B6569" i="1"/>
  <c r="B14874" i="1"/>
  <c r="B1205" i="1"/>
  <c r="B7289" i="1"/>
  <c r="B10122" i="1"/>
  <c r="B11010" i="1"/>
  <c r="B688" i="1"/>
  <c r="B8820" i="1"/>
  <c r="B17182" i="1"/>
  <c r="B1385" i="1"/>
  <c r="B9455" i="1"/>
  <c r="B8781" i="1"/>
  <c r="B9197" i="1"/>
  <c r="B10058" i="1"/>
  <c r="B9157" i="1"/>
  <c r="B8918" i="1"/>
  <c r="B5970" i="1"/>
  <c r="B16885" i="1"/>
  <c r="B5896" i="1"/>
  <c r="B3524" i="1"/>
  <c r="B6890" i="1"/>
  <c r="B696" i="1"/>
  <c r="B6378" i="1"/>
  <c r="B668" i="1"/>
  <c r="B17246" i="1"/>
  <c r="B16894" i="1"/>
  <c r="B9408" i="1"/>
  <c r="B16814" i="1"/>
  <c r="B9726" i="1"/>
  <c r="B7451" i="1"/>
  <c r="B9395" i="1"/>
  <c r="B16484" i="1"/>
  <c r="B15966" i="1"/>
  <c r="B9062" i="1"/>
  <c r="B9871" i="1"/>
  <c r="B6200" i="1"/>
  <c r="B15023" i="1"/>
  <c r="B7866" i="1"/>
  <c r="B16309" i="1"/>
  <c r="B14143" i="1"/>
  <c r="B6391" i="1"/>
  <c r="B17177" i="1"/>
  <c r="B9646" i="1"/>
  <c r="B2426" i="1"/>
  <c r="B16693" i="1"/>
  <c r="B16935" i="1"/>
  <c r="B15879" i="1"/>
  <c r="B2928" i="1"/>
  <c r="B16812" i="1"/>
  <c r="B8546" i="1"/>
  <c r="B6506" i="1"/>
  <c r="B6112" i="1"/>
  <c r="B16557" i="1"/>
  <c r="B16505" i="1"/>
  <c r="B15131" i="1"/>
  <c r="B14195" i="1"/>
  <c r="B16821" i="1"/>
  <c r="B16690" i="1"/>
  <c r="B9693" i="1"/>
  <c r="B5918" i="1"/>
  <c r="B9748" i="1"/>
  <c r="B5989" i="1"/>
  <c r="B15692" i="1"/>
  <c r="B15128" i="1"/>
  <c r="B9378" i="1"/>
  <c r="B9879" i="1"/>
  <c r="B9218" i="1"/>
  <c r="B2311" i="1"/>
  <c r="B9249" i="1"/>
  <c r="B1321" i="1"/>
  <c r="B9973" i="1"/>
  <c r="B16984" i="1"/>
  <c r="B8756" i="1"/>
  <c r="B14164" i="1"/>
  <c r="B14277" i="1"/>
  <c r="B15865" i="1"/>
  <c r="B17352" i="1"/>
  <c r="B9628" i="1"/>
  <c r="B14783" i="1"/>
  <c r="B17374" i="1"/>
  <c r="B10145" i="1"/>
  <c r="B16021" i="1"/>
  <c r="B3335" i="1"/>
  <c r="B17127" i="1"/>
  <c r="B17599" i="1"/>
  <c r="B16798" i="1"/>
  <c r="B8647" i="1"/>
  <c r="B8896" i="1"/>
  <c r="B17523" i="1"/>
  <c r="B17257" i="1"/>
  <c r="B16252" i="1"/>
  <c r="B13801" i="1"/>
  <c r="B13841" i="1"/>
  <c r="B16775" i="1"/>
  <c r="B15702" i="1"/>
  <c r="B9624" i="1"/>
  <c r="B5962" i="1"/>
  <c r="B6000" i="1"/>
  <c r="B16375" i="1"/>
  <c r="B5827" i="1"/>
  <c r="B16579" i="1"/>
  <c r="B1685" i="1"/>
  <c r="B8440" i="1"/>
  <c r="B14014" i="1"/>
  <c r="B911" i="1"/>
  <c r="B15123" i="1"/>
  <c r="B15194" i="1"/>
  <c r="B7190" i="1"/>
  <c r="B8470" i="1"/>
  <c r="B15384" i="1"/>
  <c r="B14112" i="1"/>
  <c r="B17553" i="1"/>
  <c r="B15266" i="1"/>
  <c r="B14567" i="1"/>
  <c r="B16502" i="1"/>
  <c r="B17223" i="1"/>
  <c r="B16029" i="1"/>
  <c r="B16428" i="1"/>
  <c r="B15449" i="1"/>
  <c r="B15373" i="1"/>
  <c r="B16406" i="1"/>
  <c r="B553" i="1"/>
  <c r="B2694" i="1"/>
  <c r="B14236" i="1"/>
  <c r="B931" i="1"/>
  <c r="B709" i="1"/>
  <c r="B2341" i="1"/>
  <c r="B6879" i="1"/>
  <c r="B17234" i="1"/>
  <c r="B5425" i="1"/>
  <c r="B6829" i="1"/>
  <c r="B15286" i="1"/>
  <c r="B6637" i="1"/>
  <c r="B10027" i="1"/>
  <c r="B8595" i="1"/>
  <c r="B1052" i="1"/>
  <c r="B3365" i="1"/>
  <c r="B4769" i="1"/>
  <c r="B9414" i="1"/>
  <c r="B17267" i="1"/>
  <c r="B15778" i="1"/>
  <c r="B8695" i="1"/>
  <c r="B17250" i="1"/>
  <c r="B15413" i="1"/>
  <c r="B17382" i="1"/>
  <c r="B9956" i="1"/>
  <c r="B16433" i="1"/>
  <c r="B17416" i="1"/>
  <c r="B17465" i="1"/>
  <c r="B14908" i="1"/>
  <c r="B8301" i="1"/>
  <c r="B17638" i="1"/>
  <c r="B17333" i="1"/>
  <c r="B15687" i="1"/>
  <c r="B15642" i="1"/>
  <c r="B802" i="1"/>
  <c r="B6962" i="1"/>
  <c r="B75" i="1"/>
  <c r="B15596" i="1"/>
  <c r="B17142" i="1"/>
  <c r="B17392" i="1"/>
  <c r="B16117" i="1"/>
  <c r="B15414" i="1"/>
  <c r="B14478" i="1"/>
  <c r="B9092" i="1"/>
  <c r="B16934" i="1"/>
  <c r="B1196" i="1"/>
  <c r="B17315" i="1"/>
  <c r="B15424" i="1"/>
  <c r="B15027" i="1"/>
  <c r="B14465" i="1"/>
  <c r="B9474" i="1"/>
  <c r="B16921" i="1"/>
  <c r="B13944" i="1"/>
  <c r="B16858" i="1"/>
  <c r="B492" i="1"/>
  <c r="B9469" i="1"/>
  <c r="B8346" i="1"/>
  <c r="B9461" i="1"/>
  <c r="B9470" i="1"/>
  <c r="B9020" i="1"/>
  <c r="B9793" i="1"/>
  <c r="B14496" i="1"/>
  <c r="B14943" i="1"/>
  <c r="B15603" i="1"/>
  <c r="B9905" i="1"/>
  <c r="B8113" i="1"/>
  <c r="B6462" i="1"/>
  <c r="B17587" i="1"/>
  <c r="B16771" i="1"/>
  <c r="B16620" i="1"/>
  <c r="B833" i="1"/>
  <c r="B1378" i="1"/>
  <c r="B6426" i="1"/>
  <c r="B8759" i="1"/>
  <c r="B695" i="1"/>
  <c r="B1583" i="1"/>
  <c r="B915" i="1"/>
  <c r="B14887" i="1"/>
  <c r="B957" i="1"/>
  <c r="B16834" i="1"/>
  <c r="B14220" i="1"/>
  <c r="B15258" i="1"/>
  <c r="B9402" i="1"/>
  <c r="B15224" i="1"/>
  <c r="B17106" i="1"/>
  <c r="B9758" i="1"/>
  <c r="B9481" i="1"/>
  <c r="B9681" i="1"/>
  <c r="B15576" i="1"/>
  <c r="B16014" i="1"/>
  <c r="B17698" i="1"/>
  <c r="B13985" i="1"/>
  <c r="B7139" i="1"/>
  <c r="B14842" i="1"/>
  <c r="B17237" i="1"/>
  <c r="B17997" i="1"/>
  <c r="B6004" i="1"/>
  <c r="B9393" i="1"/>
  <c r="B6189" i="1"/>
  <c r="B15473" i="1"/>
  <c r="B1273" i="1"/>
  <c r="B8900" i="1"/>
  <c r="B1147" i="1"/>
  <c r="B180" i="1"/>
  <c r="B8421" i="1"/>
  <c r="B16176" i="1"/>
  <c r="B17646" i="1"/>
  <c r="B6295" i="1"/>
  <c r="B6444" i="1"/>
  <c r="B9119" i="1"/>
  <c r="B340" i="1"/>
  <c r="B16696" i="1"/>
  <c r="B17240" i="1"/>
  <c r="B15371" i="1"/>
  <c r="B10211" i="1"/>
  <c r="B6332" i="1"/>
  <c r="B15629" i="1"/>
  <c r="B9317" i="1"/>
  <c r="B14258" i="1"/>
  <c r="B14867" i="1"/>
  <c r="B15612" i="1"/>
  <c r="B17348" i="1"/>
  <c r="B15508" i="1"/>
  <c r="B16904" i="1"/>
  <c r="B15668" i="1"/>
  <c r="B8878" i="1"/>
  <c r="B10012" i="1"/>
  <c r="B8147" i="1"/>
  <c r="B9823" i="1"/>
  <c r="B8736" i="1"/>
  <c r="B17052" i="1"/>
  <c r="B10007" i="1"/>
  <c r="B9058" i="1"/>
  <c r="B8551" i="1"/>
  <c r="B17733" i="1"/>
  <c r="B16961" i="1"/>
  <c r="B15658" i="1"/>
  <c r="B7892" i="1"/>
  <c r="B8134" i="1"/>
  <c r="B9262" i="1"/>
  <c r="B17572" i="1"/>
  <c r="B16373" i="1"/>
  <c r="B11019" i="1"/>
  <c r="B9757" i="1"/>
  <c r="B6403" i="1"/>
  <c r="B17607" i="1"/>
  <c r="B16644" i="1"/>
  <c r="B285" i="1"/>
  <c r="B9194" i="1"/>
  <c r="B9523" i="1"/>
  <c r="B17090" i="1"/>
  <c r="B15646" i="1"/>
  <c r="B6365" i="1"/>
  <c r="B243" i="1"/>
  <c r="B9310" i="1"/>
  <c r="B9201" i="1"/>
  <c r="B2446" i="1"/>
  <c r="B10221" i="1"/>
  <c r="B15460" i="1"/>
  <c r="B17064" i="1"/>
  <c r="B10139" i="1"/>
  <c r="B17376" i="1"/>
  <c r="B1122" i="1"/>
  <c r="B15833" i="1"/>
  <c r="B270" i="1"/>
  <c r="B129" i="1"/>
  <c r="B1311" i="1"/>
  <c r="B6131" i="1"/>
  <c r="B5675" i="1"/>
  <c r="B15516" i="1"/>
  <c r="B6081" i="1"/>
  <c r="B16135" i="1"/>
  <c r="B15844" i="1"/>
  <c r="B16" i="1"/>
  <c r="B17263" i="1"/>
  <c r="B9792" i="1"/>
  <c r="B8374" i="1"/>
  <c r="B8216" i="1"/>
  <c r="B1868" i="1"/>
  <c r="B15868" i="1"/>
  <c r="B14346" i="1"/>
  <c r="B6518" i="1"/>
  <c r="B15158" i="1"/>
  <c r="B14306" i="1"/>
  <c r="B14793" i="1"/>
  <c r="B15721" i="1"/>
  <c r="B10127" i="1"/>
  <c r="B8581" i="1"/>
  <c r="B5720" i="1"/>
  <c r="B5714" i="1"/>
  <c r="B3905" i="1"/>
  <c r="B5757" i="1"/>
  <c r="B5688" i="1"/>
  <c r="B5744" i="1"/>
  <c r="B5736" i="1"/>
  <c r="B5737" i="1"/>
  <c r="B5729" i="1"/>
  <c r="B8608" i="1"/>
  <c r="B16420" i="1"/>
  <c r="B9254" i="1"/>
  <c r="B6080" i="1"/>
  <c r="B10061" i="1"/>
  <c r="B9547" i="1"/>
  <c r="B17300" i="1"/>
  <c r="B15076" i="1"/>
  <c r="B16172" i="1"/>
  <c r="B9497" i="1"/>
  <c r="B17483" i="1"/>
  <c r="B17470" i="1"/>
  <c r="B14980" i="1"/>
  <c r="B16507" i="1"/>
  <c r="B16115" i="1"/>
  <c r="B15761" i="1"/>
  <c r="B8938" i="1"/>
  <c r="B6668" i="1"/>
  <c r="B9522" i="1"/>
  <c r="B9517" i="1"/>
  <c r="B16655" i="1"/>
  <c r="B15490" i="1"/>
  <c r="B9710" i="1"/>
  <c r="B1128" i="1"/>
  <c r="B15229" i="1"/>
  <c r="B9609" i="1"/>
  <c r="B8757" i="1"/>
  <c r="B9903" i="1"/>
  <c r="B6061" i="1"/>
  <c r="B15195" i="1"/>
  <c r="B17758" i="1"/>
  <c r="B16610" i="1"/>
  <c r="B17550" i="1"/>
  <c r="B731" i="1"/>
  <c r="B15252" i="1"/>
  <c r="B9277" i="1"/>
  <c r="B14218" i="1"/>
  <c r="B16564" i="1"/>
  <c r="B9047" i="1"/>
  <c r="B16565" i="1"/>
  <c r="B3551" i="1"/>
  <c r="B375" i="1"/>
  <c r="B9007" i="1"/>
  <c r="B5897" i="1"/>
  <c r="B9874" i="1"/>
  <c r="B14964" i="1"/>
  <c r="B8341" i="1"/>
  <c r="B9637" i="1"/>
  <c r="B9673" i="1"/>
  <c r="B16692" i="1"/>
  <c r="B6245" i="1"/>
  <c r="B9617" i="1"/>
  <c r="B15206" i="1"/>
  <c r="B16447" i="1"/>
  <c r="B16939" i="1"/>
  <c r="B9090" i="1"/>
  <c r="B15020" i="1"/>
  <c r="B9911" i="1"/>
  <c r="B17671" i="1"/>
  <c r="B16719" i="1"/>
  <c r="B13870" i="1"/>
  <c r="B7893" i="1"/>
  <c r="B10141" i="1"/>
  <c r="B7959" i="1"/>
  <c r="B16831" i="1"/>
  <c r="B5430" i="1"/>
  <c r="B17264" i="1"/>
  <c r="B9417" i="1"/>
  <c r="B1427" i="1"/>
  <c r="B10105" i="1"/>
  <c r="B17119" i="1"/>
  <c r="B9049" i="1"/>
  <c r="B16193" i="1"/>
  <c r="B16869" i="1"/>
  <c r="B2340" i="1"/>
  <c r="B16628" i="1"/>
  <c r="B16417" i="1"/>
  <c r="B9237" i="1"/>
  <c r="B17184" i="1"/>
  <c r="B9054" i="1"/>
  <c r="B14824" i="1"/>
  <c r="B318" i="1"/>
  <c r="B16551" i="1"/>
  <c r="B9476" i="1"/>
  <c r="B1827" i="1"/>
  <c r="B6249" i="1"/>
  <c r="B8704" i="1"/>
  <c r="B13762" i="1"/>
  <c r="B14937" i="1"/>
  <c r="B9152" i="1"/>
  <c r="B487" i="1"/>
  <c r="B6174" i="1"/>
  <c r="B17092" i="1"/>
  <c r="B14202" i="1"/>
  <c r="B16256" i="1"/>
  <c r="B17812" i="1"/>
  <c r="B17801" i="1"/>
  <c r="B16207" i="1"/>
  <c r="B15222" i="1"/>
  <c r="B15238" i="1"/>
  <c r="B8739" i="1"/>
  <c r="B14991" i="1"/>
  <c r="B16600" i="1"/>
  <c r="B15488" i="1"/>
  <c r="B16626" i="1"/>
  <c r="B14961" i="1"/>
  <c r="B17699" i="1"/>
  <c r="B17125" i="1"/>
  <c r="B17660" i="1"/>
  <c r="B16908" i="1"/>
  <c r="B6127" i="1"/>
  <c r="B15587" i="1"/>
  <c r="B14374" i="1"/>
  <c r="B9753" i="1"/>
  <c r="B9046" i="1"/>
  <c r="B16581" i="1"/>
  <c r="B8252" i="1"/>
  <c r="B16013" i="1"/>
  <c r="B6347" i="1"/>
  <c r="B17648" i="1"/>
  <c r="B14004" i="1"/>
  <c r="B15275" i="1"/>
  <c r="B9717" i="1"/>
  <c r="B309" i="1"/>
  <c r="B15723" i="1"/>
  <c r="B14909" i="1"/>
  <c r="B314" i="1"/>
  <c r="B6065" i="1"/>
  <c r="B16780" i="1"/>
  <c r="B16996" i="1"/>
  <c r="B3579" i="1"/>
  <c r="B941" i="1"/>
  <c r="B8952" i="1"/>
  <c r="B8679" i="1"/>
  <c r="B17083" i="1"/>
  <c r="B9105" i="1"/>
  <c r="B8018" i="1"/>
  <c r="B8482" i="1"/>
  <c r="B15775" i="1"/>
  <c r="B8843" i="1"/>
  <c r="B17307" i="1"/>
  <c r="B428" i="1"/>
  <c r="B17861" i="1"/>
  <c r="B15289" i="1"/>
  <c r="B8457" i="1"/>
  <c r="B10510" i="1"/>
  <c r="B16989" i="1"/>
  <c r="B17004" i="1"/>
  <c r="B15187" i="1"/>
  <c r="B14606" i="1"/>
  <c r="B15118" i="1"/>
  <c r="B8720" i="1"/>
  <c r="B16346" i="1"/>
  <c r="B16338" i="1"/>
  <c r="B324" i="1"/>
  <c r="B6296" i="1"/>
  <c r="B1272" i="1"/>
  <c r="B3552" i="1"/>
  <c r="B1118" i="1"/>
  <c r="B17623" i="1"/>
  <c r="B16596" i="1"/>
  <c r="B17121" i="1"/>
  <c r="B15675" i="1"/>
  <c r="B247" i="1"/>
  <c r="B16514" i="1"/>
  <c r="B7257" i="1"/>
  <c r="B838" i="1"/>
  <c r="B6371" i="1"/>
  <c r="B8530" i="1"/>
  <c r="B16983" i="1"/>
  <c r="B17152" i="1"/>
  <c r="B17396" i="1"/>
  <c r="B14789" i="1"/>
  <c r="B8453" i="1"/>
  <c r="B16615" i="1"/>
  <c r="B7750" i="1"/>
  <c r="B7456" i="1"/>
  <c r="B7439" i="1"/>
  <c r="B7304" i="1"/>
  <c r="B15709" i="1"/>
  <c r="B8494" i="1"/>
  <c r="B16567" i="1"/>
  <c r="B9275" i="1"/>
  <c r="B16185" i="1"/>
  <c r="B17443" i="1"/>
  <c r="B17143" i="1"/>
  <c r="B8859" i="1"/>
  <c r="B2480" i="1"/>
  <c r="B5510" i="1"/>
  <c r="B15170" i="1"/>
  <c r="B8835" i="1"/>
  <c r="B10042" i="1"/>
  <c r="B14180" i="1"/>
  <c r="B15705" i="1"/>
  <c r="B1371" i="1"/>
  <c r="B17276" i="1"/>
  <c r="B9081" i="1"/>
  <c r="B16960" i="1"/>
  <c r="B7832" i="1"/>
  <c r="B10094" i="1"/>
  <c r="B16470" i="1"/>
  <c r="B1115" i="1"/>
  <c r="B9095" i="1"/>
  <c r="B17525" i="1"/>
  <c r="B17554" i="1"/>
  <c r="B17512" i="1"/>
  <c r="B8105" i="1"/>
  <c r="B8260" i="1"/>
  <c r="B16712" i="1"/>
  <c r="B8539" i="1"/>
  <c r="B304" i="1"/>
  <c r="B17481" i="1"/>
  <c r="B17857" i="1"/>
  <c r="B14755" i="1"/>
  <c r="B16923" i="1"/>
  <c r="B1328" i="1"/>
  <c r="B192" i="1"/>
  <c r="B8537" i="1"/>
  <c r="B8987" i="1"/>
  <c r="B17799" i="1"/>
  <c r="B6863" i="1"/>
  <c r="B16689" i="1"/>
  <c r="B9978" i="1"/>
  <c r="B7943" i="1"/>
  <c r="B9500" i="1"/>
  <c r="B5898" i="1"/>
  <c r="B9212" i="1"/>
  <c r="B9985" i="1"/>
  <c r="B526" i="1"/>
  <c r="B17640" i="1"/>
  <c r="B9661" i="1"/>
  <c r="B8868" i="1"/>
  <c r="B16952" i="1"/>
  <c r="B14957" i="1"/>
  <c r="B9618" i="1"/>
  <c r="B10446" i="1"/>
  <c r="B8046" i="1"/>
  <c r="B1258" i="1"/>
  <c r="B8653" i="1"/>
  <c r="B17744" i="1"/>
  <c r="B9478" i="1"/>
  <c r="B9882" i="1"/>
  <c r="B335" i="1"/>
  <c r="B9952" i="1"/>
  <c r="B6257" i="1"/>
  <c r="B9017" i="1"/>
  <c r="B10040" i="1"/>
  <c r="B17012" i="1"/>
  <c r="B7119" i="1"/>
  <c r="B14139" i="1"/>
  <c r="B2427" i="1"/>
  <c r="B7290" i="1"/>
  <c r="B17690" i="1"/>
  <c r="B2441" i="1"/>
  <c r="B282" i="1"/>
  <c r="B165" i="1"/>
  <c r="B5990" i="1"/>
  <c r="B14370" i="1"/>
  <c r="B9976" i="1"/>
  <c r="B16804" i="1"/>
  <c r="B9995" i="1"/>
  <c r="B17771" i="1"/>
  <c r="B17507" i="1"/>
  <c r="B29" i="1"/>
  <c r="B2037" i="1"/>
  <c r="B14293" i="1"/>
  <c r="B8864" i="1"/>
  <c r="B9015" i="1"/>
  <c r="B17191" i="1"/>
  <c r="B13927" i="1"/>
  <c r="B16698" i="1"/>
  <c r="B6647" i="1"/>
  <c r="B8538" i="1"/>
  <c r="B15532" i="1"/>
  <c r="B16472" i="1"/>
  <c r="B9738" i="1"/>
  <c r="B5852" i="1"/>
  <c r="B9851" i="1"/>
  <c r="B566" i="1"/>
  <c r="B9519" i="1"/>
  <c r="B14843" i="1"/>
  <c r="B14539" i="1"/>
  <c r="B13882" i="1"/>
  <c r="B16630" i="1"/>
  <c r="B9864" i="1"/>
  <c r="B15956" i="1"/>
  <c r="B16806" i="1"/>
  <c r="B5832" i="1"/>
  <c r="B9368" i="1"/>
  <c r="B16790" i="1"/>
  <c r="B3593" i="1"/>
  <c r="B16583" i="1"/>
  <c r="B10028" i="1"/>
  <c r="B16724" i="1"/>
  <c r="B16125" i="1"/>
  <c r="B16271" i="1"/>
  <c r="B10098" i="1"/>
  <c r="B14973" i="1"/>
  <c r="B778" i="1"/>
  <c r="B3753" i="1"/>
  <c r="B6496" i="1"/>
  <c r="B657" i="1"/>
  <c r="B17478" i="1"/>
  <c r="B14996" i="1"/>
  <c r="B14320" i="1"/>
  <c r="B15737" i="1"/>
  <c r="B15456" i="1"/>
  <c r="B7792" i="1"/>
  <c r="B2445" i="1"/>
  <c r="B16813" i="1"/>
  <c r="B38" i="1"/>
  <c r="B17148" i="1"/>
  <c r="B278" i="1"/>
  <c r="B15489" i="1"/>
  <c r="B16517" i="1"/>
  <c r="B6809" i="1"/>
  <c r="B16839" i="1"/>
  <c r="B16914" i="1"/>
  <c r="B15758" i="1"/>
  <c r="B1087" i="1"/>
  <c r="B17030" i="1"/>
  <c r="B16106" i="1"/>
  <c r="B17674" i="1"/>
  <c r="B1568" i="1"/>
  <c r="B17555" i="1"/>
  <c r="B715" i="1"/>
  <c r="B17032" i="1"/>
  <c r="B16898" i="1"/>
  <c r="B14171" i="1"/>
  <c r="B17717" i="1"/>
  <c r="B10030" i="1"/>
  <c r="B8120" i="1"/>
  <c r="B16718" i="1"/>
  <c r="B5460" i="1"/>
  <c r="B7642" i="1"/>
  <c r="B5625" i="1"/>
  <c r="B8257" i="1"/>
  <c r="B5637" i="1"/>
  <c r="B9009" i="1"/>
  <c r="B5055" i="1"/>
  <c r="B5268" i="1"/>
  <c r="B9137" i="1"/>
  <c r="B17639" i="1"/>
  <c r="B10861" i="1"/>
  <c r="B7134" i="1"/>
  <c r="B17033" i="1"/>
  <c r="B9644" i="1"/>
  <c r="B6376" i="1"/>
  <c r="B10173" i="1"/>
  <c r="B8890" i="1"/>
  <c r="B14872" i="1"/>
  <c r="B9239" i="1"/>
  <c r="B14436" i="1"/>
  <c r="B16843" i="1"/>
  <c r="B1456" i="1"/>
  <c r="B9146" i="1"/>
  <c r="B9889" i="1"/>
  <c r="B7334" i="1"/>
  <c r="B11101" i="1"/>
  <c r="B16239" i="1"/>
  <c r="B17810" i="1"/>
  <c r="B6087" i="1"/>
  <c r="B9323" i="1"/>
  <c r="B8235" i="1"/>
  <c r="B6073" i="1"/>
  <c r="B6983" i="1"/>
  <c r="B17713" i="1"/>
  <c r="B17582" i="1"/>
  <c r="B8245" i="1"/>
  <c r="B2742" i="1"/>
  <c r="B743" i="1"/>
  <c r="B13992" i="1"/>
  <c r="B17549" i="1"/>
  <c r="B16221" i="1"/>
  <c r="B14035" i="1"/>
  <c r="B10909" i="1"/>
  <c r="B8340" i="1"/>
  <c r="B7939" i="1"/>
  <c r="B16577" i="1"/>
  <c r="B9191" i="1"/>
  <c r="B1267" i="1"/>
  <c r="B7836" i="1"/>
  <c r="B8945" i="1"/>
  <c r="B655" i="1"/>
  <c r="B15682" i="1"/>
  <c r="B16900" i="1"/>
  <c r="B10014" i="1"/>
  <c r="B13812" i="1"/>
  <c r="B8842" i="1"/>
  <c r="B8334" i="1"/>
  <c r="B16701" i="1"/>
  <c r="B8810" i="1"/>
  <c r="B14500" i="1"/>
  <c r="B8976" i="1"/>
  <c r="B15379" i="1"/>
  <c r="B10015" i="1"/>
  <c r="B9584" i="1"/>
  <c r="B15793" i="1"/>
  <c r="B14082" i="1"/>
  <c r="B14527" i="1"/>
  <c r="B6032" i="1"/>
  <c r="B7321" i="1"/>
  <c r="B8798" i="1"/>
  <c r="B17534" i="1"/>
  <c r="B14576" i="1"/>
  <c r="B15339" i="1"/>
  <c r="B8963" i="1"/>
  <c r="B4415" i="1"/>
  <c r="B9802" i="1"/>
  <c r="B9762" i="1"/>
  <c r="B8409" i="1"/>
  <c r="B17116" i="1"/>
  <c r="B9226" i="1"/>
  <c r="B16337" i="1"/>
  <c r="B9059" i="1"/>
  <c r="B9541" i="1"/>
  <c r="B9235" i="1"/>
  <c r="B9821" i="1"/>
  <c r="B6548" i="1"/>
  <c r="B14549" i="1"/>
  <c r="B17786" i="1"/>
  <c r="B17785" i="1"/>
  <c r="B9897" i="1"/>
  <c r="B9260" i="1"/>
  <c r="B4621" i="1"/>
  <c r="B1250" i="1"/>
  <c r="B16576" i="1"/>
  <c r="B16636" i="1"/>
  <c r="B15160" i="1"/>
  <c r="B7887" i="1"/>
  <c r="B15475" i="1"/>
  <c r="B16469" i="1"/>
  <c r="B9531" i="1"/>
  <c r="B17877" i="1"/>
  <c r="B16068" i="1"/>
  <c r="B17460" i="1"/>
  <c r="B17098" i="1"/>
  <c r="B6304" i="1"/>
  <c r="B17241" i="1"/>
  <c r="B8347" i="1"/>
  <c r="B16759" i="1"/>
  <c r="B1881" i="1"/>
  <c r="B1897" i="1"/>
  <c r="B5936" i="1"/>
  <c r="B16944" i="1"/>
  <c r="B9528" i="1"/>
  <c r="B14233" i="1"/>
  <c r="B8154" i="1"/>
  <c r="B9875" i="1"/>
  <c r="B8901" i="1"/>
  <c r="B14248" i="1"/>
  <c r="B8761" i="1"/>
  <c r="B16642" i="1"/>
  <c r="B17594" i="1"/>
  <c r="B5448" i="1"/>
  <c r="B9437" i="1"/>
  <c r="B15231" i="1"/>
  <c r="B9163" i="1"/>
  <c r="B17293" i="1"/>
  <c r="B14158" i="1"/>
  <c r="B10148" i="1"/>
  <c r="B16546" i="1"/>
  <c r="B16725" i="1"/>
  <c r="B16608" i="1"/>
  <c r="B16449" i="1"/>
  <c r="B9606" i="1"/>
  <c r="B9834" i="1"/>
  <c r="B15480" i="1"/>
  <c r="B968" i="1"/>
  <c r="B244" i="1"/>
  <c r="B17287" i="1"/>
  <c r="B15811" i="1"/>
  <c r="B14561" i="1"/>
  <c r="B10844" i="1"/>
  <c r="B9334" i="1"/>
  <c r="B16609" i="1"/>
  <c r="B9685" i="1"/>
  <c r="B17687" i="1"/>
  <c r="B843" i="1"/>
  <c r="B15265" i="1"/>
  <c r="B10160" i="1"/>
  <c r="B2316" i="1"/>
  <c r="B14648" i="1"/>
  <c r="B14247" i="1"/>
  <c r="B17162" i="1"/>
  <c r="B9687" i="1"/>
  <c r="B14955" i="1"/>
  <c r="B15875" i="1"/>
  <c r="B17445" i="1"/>
  <c r="B16273" i="1"/>
  <c r="B9839" i="1"/>
  <c r="B1923" i="1"/>
  <c r="B14163" i="1"/>
  <c r="B14216" i="1"/>
  <c r="B15594" i="1"/>
  <c r="B9013" i="1"/>
  <c r="B9925" i="1"/>
  <c r="B2300" i="1"/>
  <c r="B1172" i="1"/>
  <c r="B17747" i="1"/>
  <c r="B503" i="1"/>
  <c r="B9713" i="1"/>
  <c r="B9702" i="1"/>
  <c r="B16598" i="1"/>
  <c r="B8359" i="1"/>
  <c r="B8549" i="1"/>
  <c r="B8297" i="1"/>
  <c r="B17791" i="1"/>
  <c r="B6155" i="1"/>
  <c r="B15174" i="1"/>
  <c r="B1784" i="1"/>
  <c r="B15983" i="1"/>
  <c r="B482" i="1"/>
  <c r="B8565" i="1"/>
  <c r="B10078" i="1"/>
  <c r="B342" i="1"/>
  <c r="B17720" i="1"/>
  <c r="B14817" i="1"/>
  <c r="B251" i="1"/>
  <c r="B122" i="1"/>
  <c r="B17658" i="1"/>
  <c r="B15802" i="1"/>
  <c r="B7902" i="1"/>
  <c r="B16561" i="1"/>
  <c r="B17193" i="1"/>
  <c r="B16457" i="1"/>
  <c r="B9711" i="1"/>
  <c r="B6971" i="1"/>
  <c r="B6355" i="1"/>
  <c r="B16526" i="1"/>
  <c r="B15767" i="1"/>
  <c r="B6" i="1"/>
  <c r="B13770" i="1"/>
  <c r="B16877" i="1"/>
  <c r="B17174" i="1"/>
  <c r="B10479" i="1"/>
  <c r="B13987" i="1"/>
  <c r="B5718" i="1"/>
  <c r="B15522" i="1"/>
  <c r="B17537" i="1"/>
  <c r="B7306" i="1"/>
  <c r="B6521" i="1"/>
  <c r="B1470" i="1"/>
  <c r="B17227" i="1"/>
  <c r="B17384" i="1"/>
  <c r="B6039" i="1"/>
  <c r="B16669" i="1"/>
  <c r="B7135" i="1"/>
  <c r="B6952" i="1"/>
  <c r="B8676" i="1"/>
  <c r="B643" i="1"/>
  <c r="B6208" i="1"/>
  <c r="B17302" i="1"/>
  <c r="B392" i="1"/>
  <c r="B9166" i="1"/>
  <c r="B7859" i="1"/>
  <c r="B8829" i="1"/>
  <c r="B9386" i="1"/>
  <c r="B1153" i="1"/>
  <c r="B6399" i="1"/>
  <c r="B8788" i="1"/>
  <c r="B17042" i="1"/>
  <c r="B9926" i="1"/>
  <c r="B3486" i="1"/>
  <c r="B10926" i="1"/>
  <c r="B635" i="1"/>
  <c r="B16069" i="1"/>
  <c r="B9575" i="1"/>
  <c r="B9297" i="1"/>
  <c r="B9909" i="1"/>
  <c r="B17172" i="1"/>
  <c r="B16539" i="1"/>
  <c r="B15942" i="1"/>
  <c r="B16797" i="1"/>
  <c r="B17652" i="1"/>
  <c r="B14994" i="1"/>
  <c r="B1367" i="1"/>
  <c r="B9346" i="1"/>
  <c r="B9998" i="1"/>
  <c r="B15406" i="1"/>
  <c r="B9348" i="1"/>
  <c r="B15232" i="1"/>
  <c r="B17776" i="1"/>
  <c r="B7510" i="1"/>
  <c r="B986" i="1"/>
  <c r="B610" i="1"/>
  <c r="B7842" i="1"/>
  <c r="B17505" i="1"/>
  <c r="B16485" i="1"/>
  <c r="B17463" i="1"/>
  <c r="B8196" i="1"/>
  <c r="B9360" i="1"/>
  <c r="B670" i="1"/>
  <c r="B2504" i="1"/>
  <c r="B11299" i="1"/>
  <c r="B8524" i="1"/>
  <c r="B8051" i="1"/>
  <c r="B9263" i="1"/>
  <c r="B16966" i="1"/>
  <c r="B15136" i="1"/>
  <c r="B6374" i="1"/>
  <c r="B15773" i="1"/>
  <c r="B8659" i="1"/>
  <c r="B15946" i="1"/>
  <c r="B16937" i="1"/>
  <c r="B8007" i="1"/>
  <c r="B15783" i="1"/>
  <c r="B6297" i="1"/>
  <c r="B9305" i="1"/>
  <c r="B8954" i="1"/>
  <c r="B9515" i="1"/>
  <c r="B7988" i="1"/>
  <c r="B15789" i="1"/>
  <c r="B11084" i="1"/>
  <c r="B13917" i="1"/>
  <c r="B7327" i="1"/>
  <c r="B7953" i="1"/>
  <c r="B5772" i="1"/>
  <c r="B15931" i="1"/>
  <c r="B5449" i="1"/>
  <c r="B17691" i="1"/>
  <c r="B1942" i="1"/>
  <c r="B845" i="1"/>
  <c r="B1804" i="1"/>
  <c r="B14566" i="1"/>
  <c r="B5387" i="1"/>
  <c r="B8644" i="1"/>
  <c r="B14966" i="1"/>
  <c r="B8599" i="1"/>
  <c r="B16632" i="1"/>
  <c r="B9038" i="1"/>
  <c r="B258" i="1"/>
  <c r="B15024" i="1"/>
  <c r="B2352" i="1"/>
  <c r="B1284" i="1"/>
  <c r="B7162" i="1"/>
  <c r="B6246" i="1"/>
  <c r="B17179" i="1"/>
  <c r="B16871" i="1"/>
  <c r="B9955" i="1"/>
  <c r="B13964" i="1"/>
  <c r="B16784" i="1"/>
  <c r="B17188" i="1"/>
  <c r="B640" i="1"/>
  <c r="B17229" i="1"/>
  <c r="B14244" i="1"/>
  <c r="B9089" i="1"/>
  <c r="B16612" i="1"/>
  <c r="B2465" i="1"/>
  <c r="B5458" i="1"/>
  <c r="B9996" i="1"/>
  <c r="B9267" i="1"/>
  <c r="B17003" i="1"/>
  <c r="B497" i="1"/>
  <c r="B17110" i="1"/>
  <c r="B17131" i="1"/>
  <c r="B215" i="1"/>
  <c r="B16931" i="1"/>
  <c r="B8783" i="1"/>
  <c r="B14242" i="1"/>
  <c r="B8469" i="1"/>
  <c r="B1166" i="1"/>
  <c r="B9042" i="1"/>
  <c r="B7438" i="1"/>
  <c r="B17284" i="1"/>
  <c r="B14246" i="1"/>
  <c r="B9377" i="1"/>
  <c r="B1501" i="1"/>
  <c r="B1227" i="1"/>
  <c r="B1493" i="1"/>
  <c r="B3938" i="1"/>
  <c r="B16731" i="1"/>
  <c r="B8840" i="1"/>
  <c r="B16130" i="1"/>
  <c r="B17424" i="1"/>
  <c r="B17305" i="1"/>
  <c r="B17485" i="1"/>
  <c r="B9444" i="1"/>
  <c r="B11054" i="1"/>
  <c r="B16212" i="1"/>
  <c r="B16777" i="1"/>
  <c r="B17577" i="1"/>
  <c r="B15906" i="1"/>
  <c r="B9130" i="1"/>
  <c r="B8153" i="1"/>
  <c r="B1410" i="1"/>
  <c r="B15450" i="1"/>
  <c r="B15561" i="1"/>
  <c r="B16867" i="1"/>
  <c r="B1182" i="1"/>
  <c r="B17107" i="1"/>
  <c r="B17056" i="1"/>
  <c r="B17145" i="1"/>
  <c r="B14956" i="1"/>
  <c r="B16217" i="1"/>
  <c r="B16222" i="1"/>
  <c r="B16823" i="1"/>
  <c r="B8356" i="1"/>
  <c r="B17596" i="1"/>
  <c r="B6961" i="1"/>
  <c r="B16049" i="1"/>
  <c r="B136" i="1"/>
  <c r="B9570" i="1"/>
  <c r="B813" i="1"/>
  <c r="B9566" i="1"/>
  <c r="B9352" i="1"/>
  <c r="B9602" i="1"/>
  <c r="B692" i="1"/>
  <c r="B16902" i="1"/>
  <c r="B28" i="1"/>
  <c r="B15004" i="1"/>
  <c r="B6232" i="1"/>
  <c r="B9131" i="1"/>
  <c r="B9491" i="1"/>
  <c r="B14947" i="1"/>
  <c r="B837" i="1"/>
  <c r="B16920" i="1"/>
  <c r="B7896" i="1"/>
  <c r="B16283" i="1"/>
  <c r="B13922" i="1"/>
  <c r="B9942" i="1"/>
  <c r="B14187" i="1"/>
  <c r="B9779" i="1"/>
  <c r="B576" i="1"/>
  <c r="B16930" i="1"/>
  <c r="B6606" i="1"/>
  <c r="B9213" i="1"/>
  <c r="B325" i="1"/>
  <c r="B6805" i="1"/>
  <c r="B16893" i="1"/>
  <c r="B17047" i="1"/>
  <c r="B1478" i="1"/>
  <c r="B6313" i="1"/>
  <c r="B169" i="1"/>
  <c r="B9140" i="1"/>
  <c r="B15925" i="1"/>
  <c r="B13849" i="1"/>
  <c r="B6250" i="1"/>
  <c r="B9076" i="1"/>
  <c r="B1057" i="1"/>
  <c r="B609" i="1"/>
  <c r="B17593" i="1"/>
  <c r="B9300" i="1"/>
  <c r="B16909" i="1"/>
  <c r="B1462" i="1"/>
  <c r="B469" i="1"/>
  <c r="B17806" i="1"/>
  <c r="B17025" i="1"/>
  <c r="B17832" i="1"/>
  <c r="B17604" i="1"/>
  <c r="B17112" i="1"/>
  <c r="B17622" i="1"/>
  <c r="B15696" i="1"/>
  <c r="B14217" i="1"/>
  <c r="B6719" i="1"/>
  <c r="B10080" i="1"/>
  <c r="B9325" i="1"/>
  <c r="B9612" i="1"/>
  <c r="B14923" i="1"/>
  <c r="B9285" i="1"/>
  <c r="B6802" i="1"/>
  <c r="B7112" i="1"/>
  <c r="B14678" i="1"/>
  <c r="B9756" i="1"/>
  <c r="B8880" i="1"/>
  <c r="B6959" i="1"/>
  <c r="B17059" i="1"/>
  <c r="B17218" i="1"/>
  <c r="B9025" i="1"/>
  <c r="B1304" i="1"/>
  <c r="B3814" i="1"/>
  <c r="B7240" i="1"/>
  <c r="B14840" i="1"/>
  <c r="B10469" i="1"/>
  <c r="B385" i="1"/>
  <c r="B8236" i="1"/>
  <c r="B5516" i="1"/>
  <c r="B5620" i="1"/>
  <c r="B4671" i="1"/>
  <c r="B1076" i="1"/>
  <c r="B381" i="1"/>
  <c r="B15898" i="1"/>
  <c r="B16349" i="1"/>
  <c r="B646" i="1"/>
  <c r="B14146" i="1"/>
  <c r="B15592" i="1"/>
  <c r="B15998" i="1"/>
  <c r="B17140" i="1"/>
  <c r="B8188" i="1"/>
  <c r="B8520" i="1"/>
  <c r="B3097" i="1"/>
  <c r="B17076" i="1"/>
  <c r="B15135" i="1"/>
  <c r="B6090" i="1"/>
  <c r="B8949" i="1"/>
  <c r="B14512" i="1"/>
  <c r="B5623" i="1"/>
  <c r="B8871" i="1"/>
  <c r="B6054" i="1"/>
  <c r="B15388" i="1"/>
  <c r="B197" i="1"/>
  <c r="B7251" i="1"/>
  <c r="B2985" i="1"/>
  <c r="B10103" i="1"/>
  <c r="B6280" i="1"/>
  <c r="B16641" i="1"/>
  <c r="B8060" i="1"/>
  <c r="B15623" i="1"/>
  <c r="B2098" i="1"/>
  <c r="B16524" i="1"/>
  <c r="B483" i="1"/>
  <c r="B6140" i="1"/>
  <c r="B17248" i="1"/>
  <c r="B17067" i="1"/>
  <c r="B7203" i="1"/>
  <c r="B7275" i="1"/>
  <c r="B6385" i="1"/>
  <c r="B17495" i="1"/>
  <c r="B17002" i="1"/>
  <c r="B161" i="1"/>
  <c r="B16624" i="1"/>
  <c r="B15212" i="1"/>
  <c r="B15733" i="1"/>
  <c r="B8860" i="1"/>
  <c r="B16940" i="1"/>
  <c r="B16028" i="1"/>
  <c r="B10320" i="1"/>
  <c r="B1105" i="1"/>
  <c r="B10175" i="1"/>
  <c r="B6210" i="1"/>
  <c r="B7949" i="1"/>
  <c r="B7335" i="1"/>
  <c r="B16033" i="1"/>
  <c r="B9002" i="1"/>
  <c r="B9113" i="1"/>
  <c r="B9997" i="1"/>
  <c r="B17591" i="1"/>
  <c r="B9965" i="1"/>
  <c r="B15455" i="1"/>
  <c r="B5539" i="1"/>
  <c r="B9379" i="1"/>
  <c r="B6222" i="1"/>
  <c r="B9537" i="1"/>
  <c r="B5644" i="1"/>
  <c r="B5663" i="1"/>
  <c r="B5649" i="1"/>
  <c r="B5689" i="1"/>
  <c r="B14238" i="1"/>
  <c r="B10068" i="1"/>
  <c r="B15512" i="1"/>
  <c r="B9780" i="1"/>
  <c r="B13754" i="1"/>
  <c r="B808" i="1"/>
  <c r="B16504" i="1"/>
  <c r="B17117" i="1"/>
  <c r="B17848" i="1"/>
  <c r="B16572" i="1"/>
  <c r="B1323" i="1"/>
  <c r="B9801" i="1"/>
  <c r="B17737" i="1"/>
  <c r="B15196" i="1"/>
  <c r="B17796" i="1"/>
  <c r="B15297" i="1"/>
  <c r="B15577" i="1"/>
  <c r="B15552" i="1"/>
  <c r="B6139" i="1"/>
  <c r="B16887" i="1"/>
  <c r="B15241" i="1"/>
  <c r="B16098" i="1"/>
  <c r="B574" i="1"/>
  <c r="B16844" i="1"/>
  <c r="B6125" i="1"/>
  <c r="B15148" i="1"/>
  <c r="B16148" i="1"/>
  <c r="B6292" i="1"/>
  <c r="B8279" i="1"/>
  <c r="B17405" i="1"/>
  <c r="B9183" i="1"/>
  <c r="B17511" i="1"/>
  <c r="B17022" i="1"/>
  <c r="B16990" i="1"/>
  <c r="B5369" i="1"/>
  <c r="B13919" i="1"/>
  <c r="B17643" i="1"/>
  <c r="B16203" i="1"/>
  <c r="B16950" i="1"/>
  <c r="B17636" i="1"/>
  <c r="B6008" i="1"/>
  <c r="B2479" i="1"/>
  <c r="B9462" i="1"/>
  <c r="B6238" i="1"/>
  <c r="B6170" i="1"/>
  <c r="B15880" i="1"/>
  <c r="B6266" i="1"/>
  <c r="B7080" i="1"/>
  <c r="B6360" i="1"/>
  <c r="B7411" i="1"/>
  <c r="B7480" i="1"/>
  <c r="B6575" i="1"/>
  <c r="B15509" i="1"/>
  <c r="B17045" i="1"/>
  <c r="B7220" i="1"/>
  <c r="B16756" i="1"/>
  <c r="B16206" i="1"/>
  <c r="B16282" i="1"/>
  <c r="B8544" i="1"/>
  <c r="B6738" i="1"/>
  <c r="B9094" i="1"/>
  <c r="B306" i="1"/>
  <c r="B1741" i="1"/>
  <c r="B1789" i="1"/>
  <c r="B415" i="1"/>
  <c r="B16582" i="1"/>
  <c r="B6390" i="1"/>
  <c r="B360" i="1"/>
  <c r="B10899" i="1"/>
  <c r="B17014" i="1"/>
  <c r="B842" i="1"/>
  <c r="B8979" i="1"/>
  <c r="B9340" i="1"/>
  <c r="B9943" i="1"/>
  <c r="B6389" i="1"/>
  <c r="B1037" i="1"/>
  <c r="B17412" i="1"/>
  <c r="B6206" i="1"/>
  <c r="B9663" i="1"/>
  <c r="B15399" i="1"/>
  <c r="B9188" i="1"/>
  <c r="B982" i="1"/>
  <c r="B6423" i="1"/>
  <c r="B6406" i="1"/>
  <c r="B14252" i="1"/>
  <c r="B16132" i="1"/>
  <c r="B15685" i="1"/>
  <c r="B462" i="1"/>
  <c r="B928" i="1"/>
  <c r="B900" i="1"/>
  <c r="B996" i="1"/>
  <c r="B90" i="1"/>
  <c r="B518" i="1"/>
  <c r="B9078" i="1"/>
  <c r="B9947" i="1"/>
  <c r="B3209" i="1"/>
  <c r="B9296" i="1"/>
  <c r="B6168" i="1"/>
  <c r="B268" i="1"/>
  <c r="B14406" i="1"/>
  <c r="B9504" i="1"/>
  <c r="B1202" i="1"/>
  <c r="B17346" i="1"/>
  <c r="B14190" i="1"/>
  <c r="B7984" i="1"/>
  <c r="B8958" i="1"/>
  <c r="B229" i="1"/>
  <c r="B10755" i="1"/>
  <c r="B13994" i="1"/>
  <c r="B7365" i="1"/>
  <c r="B14408" i="1"/>
  <c r="B9129" i="1"/>
  <c r="B8174" i="1"/>
  <c r="B17178" i="1"/>
  <c r="B10055" i="1"/>
  <c r="B16139" i="1"/>
  <c r="B17280" i="1"/>
  <c r="B7815" i="1"/>
  <c r="B7829" i="1"/>
  <c r="B5590" i="1"/>
  <c r="B851" i="1"/>
  <c r="B5999" i="1"/>
  <c r="B2779" i="1"/>
  <c r="B2797" i="1"/>
  <c r="B1344" i="1"/>
  <c r="B10176" i="1"/>
  <c r="B16162" i="1"/>
  <c r="B6348" i="1"/>
  <c r="B8886" i="1"/>
  <c r="B380" i="1"/>
  <c r="B9108" i="1"/>
  <c r="B13847" i="1"/>
  <c r="B14488" i="1"/>
  <c r="B1718" i="1"/>
  <c r="B2223" i="1"/>
  <c r="B166" i="1"/>
  <c r="B8527" i="1"/>
  <c r="B14432" i="1"/>
  <c r="B1631" i="1"/>
  <c r="B7854" i="1"/>
  <c r="B13932" i="1"/>
  <c r="B13897" i="1"/>
  <c r="B14718" i="1"/>
  <c r="B14738" i="1"/>
  <c r="B16285" i="1"/>
  <c r="B1582" i="1"/>
  <c r="B14536" i="1"/>
  <c r="B2356" i="1"/>
  <c r="B14354" i="1"/>
  <c r="B16667" i="1"/>
  <c r="B7663" i="1"/>
  <c r="B1603" i="1"/>
  <c r="B17991" i="1"/>
  <c r="B17968" i="1"/>
  <c r="B2559" i="1"/>
  <c r="B2139" i="1"/>
  <c r="B3193" i="1"/>
  <c r="B14159" i="1"/>
  <c r="B13824" i="1"/>
  <c r="B14344" i="1"/>
  <c r="B1651" i="1"/>
  <c r="B14450" i="1"/>
  <c r="B13972" i="1"/>
  <c r="B1567" i="1"/>
  <c r="B13862" i="1"/>
  <c r="B17" i="1"/>
  <c r="B13831" i="1"/>
  <c r="B2208" i="1"/>
  <c r="B13980" i="1"/>
  <c r="B9543" i="1"/>
  <c r="B8553" i="1"/>
  <c r="B13905" i="1"/>
  <c r="B14425" i="1"/>
  <c r="B14341" i="1"/>
  <c r="B17667" i="1"/>
  <c r="B14750" i="1"/>
  <c r="B5435" i="1"/>
  <c r="B352" i="1"/>
  <c r="B13876" i="1"/>
  <c r="B1849" i="1"/>
  <c r="B6931" i="1"/>
  <c r="B1920" i="1"/>
  <c r="B16080" i="1"/>
  <c r="B16958" i="1"/>
  <c r="B15360" i="1"/>
  <c r="B8416" i="1"/>
  <c r="B13785" i="1"/>
  <c r="B14829" i="1"/>
  <c r="B2457" i="1"/>
  <c r="B14491" i="1"/>
  <c r="B9734" i="1"/>
  <c r="B1844" i="1"/>
  <c r="B14671" i="1"/>
  <c r="B2260" i="1"/>
  <c r="B1948" i="1"/>
  <c r="B13850" i="1"/>
  <c r="B14402" i="1"/>
  <c r="B13813" i="1"/>
  <c r="B18004" i="1"/>
  <c r="B2402" i="1"/>
  <c r="B7699" i="1"/>
  <c r="B1546" i="1"/>
  <c r="B14405" i="1"/>
  <c r="B1573" i="1"/>
  <c r="B2454" i="1"/>
  <c r="B3239" i="1"/>
  <c r="B930" i="1"/>
  <c r="B5376" i="1"/>
  <c r="B8255" i="1"/>
  <c r="B13781" i="1"/>
  <c r="B14445" i="1"/>
  <c r="B1711" i="1"/>
  <c r="B15085" i="1"/>
  <c r="B14289" i="1"/>
  <c r="B49" i="1"/>
  <c r="B5260" i="1"/>
  <c r="B5275" i="1"/>
  <c r="B5633" i="1"/>
  <c r="B14479" i="1"/>
  <c r="B5267" i="1"/>
  <c r="B2024" i="1"/>
  <c r="B10037" i="1"/>
  <c r="B3478" i="1"/>
  <c r="B9053" i="1"/>
  <c r="B9034" i="1"/>
  <c r="B6116" i="1"/>
  <c r="B14404" i="1"/>
  <c r="B14389" i="1"/>
  <c r="B13868" i="1"/>
  <c r="B2826" i="1"/>
  <c r="B13986" i="1"/>
  <c r="B3167" i="1"/>
  <c r="B1662" i="1"/>
  <c r="B15270" i="1"/>
  <c r="B14688" i="1"/>
  <c r="B14851" i="1"/>
  <c r="B14568" i="1"/>
  <c r="B13888" i="1"/>
  <c r="B8543" i="1"/>
  <c r="B8533" i="1"/>
  <c r="B3475" i="1"/>
  <c r="B167" i="1"/>
  <c r="B13765" i="1"/>
  <c r="B1889" i="1"/>
  <c r="B1688" i="1"/>
  <c r="B2989" i="1"/>
  <c r="B1629" i="1"/>
  <c r="B8335" i="1"/>
  <c r="B2968" i="1"/>
  <c r="B14813" i="1"/>
  <c r="B13903" i="1"/>
  <c r="B1719" i="1"/>
  <c r="B15652" i="1"/>
  <c r="B15462" i="1"/>
  <c r="B14674" i="1"/>
  <c r="B13848" i="1"/>
  <c r="B7618" i="1"/>
  <c r="B14430" i="1"/>
  <c r="B36" i="1"/>
  <c r="B14494" i="1"/>
  <c r="B8540" i="1"/>
  <c r="B170" i="1"/>
  <c r="B15527" i="1"/>
  <c r="B1776" i="1"/>
  <c r="B1339" i="1"/>
  <c r="B3092" i="1"/>
  <c r="B1771" i="1"/>
  <c r="B16152" i="1"/>
  <c r="B14546" i="1"/>
  <c r="B17081" i="1"/>
  <c r="B2129" i="1"/>
  <c r="B13773" i="1"/>
  <c r="B9135" i="1"/>
  <c r="B9992" i="1"/>
  <c r="B1976" i="1"/>
  <c r="B1819" i="1"/>
  <c r="B14342" i="1"/>
  <c r="B13846" i="1"/>
  <c r="B9244" i="1"/>
  <c r="B14322" i="1"/>
  <c r="B5724" i="1"/>
  <c r="B15555" i="1"/>
  <c r="B8000" i="1"/>
  <c r="B6862" i="1"/>
  <c r="B9815" i="1"/>
  <c r="B8267" i="1"/>
  <c r="B8243" i="1"/>
  <c r="B13902" i="1"/>
  <c r="B17984" i="1"/>
  <c r="B8709" i="1"/>
  <c r="B9751" i="1"/>
  <c r="B17617" i="1"/>
  <c r="B829" i="1"/>
  <c r="B8941" i="1"/>
  <c r="B8770" i="1"/>
  <c r="B5719" i="1"/>
  <c r="B16634" i="1"/>
  <c r="B238" i="1"/>
  <c r="B9466" i="1"/>
  <c r="B7141" i="1"/>
  <c r="B14962" i="1"/>
  <c r="B13763" i="1"/>
  <c r="B7210" i="1"/>
  <c r="B15310" i="1"/>
  <c r="B404" i="1"/>
  <c r="B7823" i="1"/>
  <c r="B17170" i="1"/>
  <c r="B5349" i="1"/>
  <c r="B5877" i="1"/>
  <c r="B51" i="1"/>
  <c r="B79" i="1"/>
  <c r="B312" i="1"/>
  <c r="B15366" i="1"/>
  <c r="B537" i="1"/>
  <c r="B344" i="1"/>
  <c r="B493" i="1"/>
  <c r="B15377" i="1"/>
  <c r="B16215" i="1"/>
  <c r="B960" i="1"/>
  <c r="B8158" i="1"/>
  <c r="B591" i="1"/>
  <c r="B15717" i="1"/>
  <c r="B14215" i="1"/>
  <c r="B7343" i="1"/>
  <c r="B10005" i="1"/>
  <c r="B6220" i="1"/>
  <c r="B458" i="1"/>
  <c r="B10006" i="1"/>
  <c r="B14711" i="1"/>
  <c r="B17774" i="1"/>
  <c r="B14279" i="1"/>
  <c r="B641" i="1"/>
  <c r="B6050" i="1"/>
  <c r="B1372" i="1"/>
  <c r="B485" i="1"/>
  <c r="B17171" i="1"/>
  <c r="B5587" i="1"/>
  <c r="B6375" i="1"/>
  <c r="B8428" i="1"/>
  <c r="B6099" i="1"/>
  <c r="B15757" i="1"/>
  <c r="B557" i="1"/>
  <c r="B14081" i="1"/>
  <c r="B113" i="1"/>
  <c r="B6193" i="1"/>
  <c r="B862" i="1"/>
  <c r="B7805" i="1"/>
  <c r="B17380" i="1"/>
  <c r="B6114" i="1"/>
  <c r="B8123" i="1"/>
  <c r="B6150" i="1"/>
  <c r="B17752" i="1"/>
  <c r="B16438" i="1"/>
  <c r="B17369" i="1"/>
  <c r="B17548" i="1"/>
  <c r="B9586" i="1"/>
  <c r="B16556" i="1"/>
  <c r="B15620" i="1"/>
  <c r="B9513" i="1"/>
  <c r="B6230" i="1"/>
  <c r="B9333" i="1"/>
  <c r="B6798" i="1"/>
  <c r="B41" i="1"/>
  <c r="B6271" i="1"/>
  <c r="B1464" i="1"/>
  <c r="B1777" i="1"/>
  <c r="B17408" i="1"/>
  <c r="B17433" i="1"/>
  <c r="B15476" i="1"/>
  <c r="B14285" i="1"/>
  <c r="B17239" i="1"/>
  <c r="B16142" i="1"/>
  <c r="B17480" i="1"/>
  <c r="B15588" i="1"/>
  <c r="B16951" i="1"/>
  <c r="B17222" i="1"/>
  <c r="B16328" i="1"/>
  <c r="B476" i="1"/>
  <c r="B15839" i="1"/>
  <c r="B8295" i="1"/>
  <c r="B17808" i="1"/>
  <c r="B15873" i="1"/>
  <c r="B7710" i="1"/>
  <c r="B14737" i="1"/>
  <c r="B8758" i="1"/>
  <c r="B15003" i="1"/>
  <c r="B8677" i="1"/>
  <c r="B10142" i="1"/>
  <c r="B15759" i="1"/>
  <c r="B6056" i="1"/>
  <c r="B9843" i="1"/>
  <c r="B14114" i="1"/>
  <c r="B17694" i="1"/>
  <c r="B9999" i="1"/>
  <c r="B16563" i="1"/>
  <c r="B16925" i="1"/>
  <c r="B16133" i="1"/>
  <c r="B17621" i="1"/>
  <c r="B16431" i="1"/>
  <c r="B587" i="1"/>
  <c r="B1832" i="1"/>
  <c r="B16316" i="1"/>
  <c r="B2575" i="1"/>
  <c r="B17642" i="1"/>
  <c r="B5940" i="1"/>
  <c r="B14988" i="1"/>
  <c r="B17226" i="1"/>
  <c r="B1454" i="1"/>
  <c r="B9829" i="1"/>
  <c r="B17651" i="1"/>
  <c r="B9818" i="1"/>
  <c r="B17865" i="1"/>
  <c r="B15345" i="1"/>
  <c r="B6059" i="1"/>
  <c r="B17542" i="1"/>
  <c r="B9892" i="1"/>
  <c r="B17707" i="1"/>
  <c r="B15260" i="1"/>
  <c r="B15651" i="1"/>
  <c r="B15536" i="1"/>
  <c r="B693" i="1"/>
  <c r="B17568" i="1"/>
  <c r="B8475" i="1"/>
  <c r="B17253" i="1"/>
  <c r="B17559" i="1"/>
  <c r="B8645" i="1"/>
  <c r="B608" i="1"/>
  <c r="B1014" i="1"/>
  <c r="B17269" i="1"/>
  <c r="B5408" i="1"/>
  <c r="B10948" i="1"/>
  <c r="B16675" i="1"/>
  <c r="B17757" i="1"/>
  <c r="B17497" i="1"/>
  <c r="B15133" i="1"/>
  <c r="B16521" i="1"/>
  <c r="B9198" i="1"/>
  <c r="B9388" i="1"/>
  <c r="B5837" i="1"/>
  <c r="B16003" i="1"/>
  <c r="B16794" i="1"/>
  <c r="B16263" i="1"/>
  <c r="B17620" i="1"/>
  <c r="B16500" i="1"/>
  <c r="B1338" i="1"/>
  <c r="B532" i="1"/>
  <c r="B16859" i="1"/>
  <c r="B16822" i="1"/>
  <c r="B1435" i="1"/>
  <c r="B16964" i="1"/>
  <c r="B14382" i="1"/>
  <c r="B7063" i="1"/>
  <c r="B1416" i="1"/>
  <c r="B15669" i="1"/>
  <c r="B15445" i="1"/>
  <c r="B9374" i="1"/>
  <c r="B9727" i="1"/>
  <c r="B14579" i="1"/>
  <c r="B16015" i="1"/>
  <c r="B849" i="1"/>
  <c r="B759" i="1"/>
  <c r="B15198" i="1"/>
  <c r="B9347" i="1"/>
  <c r="B7326" i="1"/>
  <c r="B8038" i="1"/>
  <c r="B15945" i="1"/>
  <c r="B16192" i="1"/>
  <c r="B17793" i="1"/>
  <c r="B16578" i="1"/>
  <c r="B7114" i="1"/>
  <c r="B7293" i="1"/>
  <c r="B786" i="1"/>
  <c r="B2938" i="1"/>
  <c r="B15111" i="1"/>
  <c r="B17783" i="1"/>
  <c r="B1905" i="1"/>
  <c r="B5471" i="1"/>
  <c r="B15267" i="1"/>
  <c r="B116" i="1"/>
  <c r="B15763" i="1"/>
  <c r="B15934" i="1"/>
  <c r="B15822" i="1"/>
  <c r="B8889" i="1"/>
  <c r="B15988" i="1"/>
  <c r="B15673" i="1"/>
  <c r="B15302" i="1"/>
  <c r="B17197" i="1"/>
  <c r="B17685" i="1"/>
  <c r="B2303" i="1"/>
  <c r="B9495" i="1"/>
  <c r="B9268" i="1"/>
  <c r="B6153" i="1"/>
  <c r="B14706" i="1"/>
  <c r="B6198" i="1"/>
  <c r="B16749" i="1"/>
  <c r="B16695" i="1"/>
  <c r="B15602" i="1"/>
  <c r="B17597" i="1"/>
  <c r="B17101" i="1"/>
  <c r="B14744" i="1"/>
  <c r="B8615" i="1"/>
  <c r="B16962" i="1"/>
  <c r="B39" i="1"/>
  <c r="B276" i="1"/>
  <c r="B475" i="1"/>
  <c r="B7181" i="1"/>
  <c r="B9826" i="1"/>
  <c r="B9126" i="1"/>
  <c r="B16905" i="1"/>
  <c r="B194" i="1"/>
  <c r="B14918" i="1"/>
  <c r="B13910" i="1"/>
  <c r="B10134" i="1"/>
  <c r="B16422" i="1"/>
  <c r="B9052" i="1"/>
  <c r="B8395" i="1"/>
  <c r="B17565" i="1"/>
  <c r="B17114" i="1"/>
  <c r="B9100" i="1"/>
  <c r="B17533" i="1"/>
  <c r="B17471" i="1"/>
  <c r="B17371" i="1"/>
  <c r="B9954" i="1"/>
  <c r="B6234" i="1"/>
  <c r="B16972" i="1"/>
  <c r="B17050" i="1"/>
  <c r="B17057" i="1"/>
  <c r="B8011" i="1"/>
  <c r="B5678" i="1"/>
  <c r="B5681" i="1"/>
  <c r="B7396" i="1"/>
  <c r="B17444" i="1"/>
  <c r="B555" i="1"/>
  <c r="B15340" i="1"/>
  <c r="B17536" i="1"/>
  <c r="B9369" i="1"/>
  <c r="B5270" i="1"/>
  <c r="B16109" i="1"/>
  <c r="B15914" i="1"/>
  <c r="B10116" i="1"/>
  <c r="B5659" i="1"/>
  <c r="B16483" i="1"/>
  <c r="B6060" i="1"/>
  <c r="B17847" i="1"/>
  <c r="B9785" i="1"/>
  <c r="B2371" i="1"/>
  <c r="B8819" i="1"/>
  <c r="B17159" i="1"/>
  <c r="B80" i="1"/>
  <c r="B8189" i="1"/>
  <c r="B8921" i="1"/>
  <c r="B16002" i="1"/>
  <c r="B2944" i="1"/>
  <c r="B1163" i="1"/>
  <c r="B6294" i="1"/>
  <c r="B8977" i="1"/>
  <c r="B17383" i="1"/>
  <c r="B1300" i="1"/>
  <c r="B15313" i="1"/>
  <c r="B14677" i="1"/>
  <c r="B1579" i="1"/>
  <c r="B283" i="1"/>
  <c r="B17684" i="1"/>
  <c r="B10178" i="1"/>
  <c r="B17194" i="1"/>
  <c r="B1446" i="1"/>
  <c r="B9716" i="1"/>
  <c r="B17423" i="1"/>
  <c r="B824" i="1"/>
  <c r="B17545" i="1"/>
  <c r="B17818" i="1"/>
  <c r="B69" i="1"/>
  <c r="B16796" i="1"/>
  <c r="B6030" i="1"/>
  <c r="B378" i="1"/>
  <c r="B1137" i="1"/>
  <c r="B15936" i="1"/>
  <c r="B16601" i="1"/>
  <c r="B217" i="1"/>
  <c r="B8141" i="1"/>
  <c r="B9304" i="1"/>
  <c r="B16662" i="1"/>
  <c r="B16089" i="1"/>
  <c r="B7380" i="1"/>
  <c r="B14971" i="1"/>
  <c r="B9764" i="1"/>
  <c r="B6254" i="1"/>
  <c r="B14058" i="1"/>
  <c r="B10081" i="1"/>
  <c r="B17397" i="1"/>
  <c r="B10063" i="1"/>
  <c r="B6247" i="1"/>
  <c r="B7347" i="1"/>
  <c r="B14485" i="1"/>
  <c r="B2827" i="1"/>
  <c r="B17535" i="1"/>
  <c r="B9550" i="1"/>
  <c r="B7308" i="1"/>
  <c r="B9765" i="1"/>
  <c r="B14208" i="1"/>
  <c r="B8602" i="1"/>
  <c r="B17679" i="1"/>
  <c r="B5987" i="1"/>
  <c r="B1132" i="1"/>
  <c r="B886" i="1"/>
  <c r="B6084" i="1"/>
  <c r="B17079" i="1"/>
  <c r="B6047" i="1"/>
  <c r="B1092" i="1"/>
  <c r="B1307" i="1"/>
  <c r="B16334" i="1"/>
  <c r="B9611" i="1"/>
  <c r="B102" i="1"/>
  <c r="B17479" i="1"/>
  <c r="B9810" i="1"/>
  <c r="B16018" i="1"/>
  <c r="B17583" i="1"/>
  <c r="B8655" i="1"/>
  <c r="B15917" i="1"/>
  <c r="B17859" i="1"/>
  <c r="B9740" i="1"/>
  <c r="B14110" i="1"/>
  <c r="B16527" i="1"/>
  <c r="B4432" i="1"/>
  <c r="B9674" i="1"/>
  <c r="B1415" i="1"/>
  <c r="B5820" i="1"/>
  <c r="B5456" i="1"/>
  <c r="B5755" i="1"/>
  <c r="B5462" i="1"/>
  <c r="B7272" i="1"/>
  <c r="B10062" i="1"/>
  <c r="B6273" i="1"/>
  <c r="B16769" i="1"/>
  <c r="B9357" i="1"/>
  <c r="B10123" i="1"/>
  <c r="B14048" i="1"/>
  <c r="B7270" i="1"/>
  <c r="B946" i="1"/>
  <c r="B15563" i="1"/>
  <c r="B17564" i="1"/>
  <c r="B15362" i="1"/>
  <c r="B6430" i="1"/>
  <c r="B16854" i="1"/>
  <c r="B17281" i="1"/>
  <c r="B6147" i="1"/>
  <c r="B10998" i="1"/>
  <c r="B10066" i="1"/>
  <c r="B15253" i="1"/>
  <c r="B6102" i="1"/>
  <c r="B6142" i="1"/>
  <c r="B6323" i="1"/>
  <c r="B15656" i="1"/>
  <c r="B17368" i="1"/>
  <c r="B9302" i="1"/>
  <c r="B7973" i="1"/>
  <c r="B16773" i="1"/>
  <c r="B17024" i="1"/>
  <c r="B1364" i="1"/>
  <c r="B16434" i="1"/>
  <c r="B16218" i="1"/>
  <c r="B9202" i="1"/>
  <c r="B9592" i="1"/>
  <c r="B534" i="1"/>
  <c r="B14861" i="1"/>
  <c r="B17521" i="1"/>
  <c r="B16807" i="1"/>
  <c r="B16810" i="1"/>
  <c r="B8605" i="1"/>
  <c r="B5769" i="1"/>
  <c r="B9236" i="1"/>
  <c r="B16704" i="1"/>
  <c r="B17866" i="1"/>
  <c r="B16509" i="1"/>
  <c r="B9231" i="1"/>
  <c r="B17705" i="1"/>
  <c r="B8838" i="1"/>
  <c r="B1533" i="1"/>
  <c r="B421" i="1"/>
  <c r="B15507" i="1"/>
  <c r="B9510" i="1"/>
  <c r="B14482" i="1"/>
  <c r="B16392" i="1"/>
  <c r="B16670" i="1"/>
  <c r="B9951" i="1"/>
  <c r="B15582" i="1"/>
  <c r="B8057" i="1"/>
  <c r="B1006" i="1"/>
  <c r="B15684" i="1"/>
  <c r="B5891" i="1"/>
  <c r="B5738" i="1"/>
  <c r="B15233" i="1"/>
  <c r="B15809" i="1"/>
  <c r="B9107" i="1"/>
  <c r="B852" i="1"/>
  <c r="B16599" i="1"/>
  <c r="B627" i="1"/>
  <c r="B17215" i="1"/>
  <c r="B91" i="1"/>
  <c r="B7908" i="1"/>
  <c r="B17084" i="1"/>
  <c r="B17211" i="1"/>
  <c r="B14679" i="1"/>
  <c r="B284" i="1"/>
  <c r="B1390" i="1"/>
  <c r="B262" i="1"/>
  <c r="B8259" i="1"/>
  <c r="B8817" i="1"/>
  <c r="B13976" i="1"/>
  <c r="B8352" i="1"/>
  <c r="B5598" i="1"/>
  <c r="B17205" i="1"/>
  <c r="B16722" i="1"/>
  <c r="B15243" i="1"/>
  <c r="B9549" i="1"/>
  <c r="B6181" i="1"/>
  <c r="B6489" i="1"/>
  <c r="B8583" i="1"/>
  <c r="B7841" i="1"/>
  <c r="B14894" i="1"/>
  <c r="B8417" i="1"/>
  <c r="B16911" i="1"/>
  <c r="B9021" i="1"/>
  <c r="B17696" i="1"/>
  <c r="B7736" i="1"/>
  <c r="B10349" i="1"/>
  <c r="B9747" i="1"/>
  <c r="B8648" i="1"/>
  <c r="B83" i="1"/>
  <c r="B71" i="1"/>
  <c r="B5615" i="1"/>
  <c r="B10024" i="1"/>
  <c r="B14460" i="1"/>
  <c r="B17784" i="1"/>
  <c r="B17016" i="1"/>
  <c r="B1112" i="1"/>
  <c r="B16841" i="1"/>
  <c r="B6270" i="1"/>
  <c r="B10535" i="1"/>
  <c r="B1484" i="1"/>
  <c r="B17283" i="1"/>
  <c r="B17186" i="1"/>
  <c r="B8566" i="1"/>
  <c r="B798" i="1"/>
  <c r="B9720" i="1"/>
  <c r="B16118" i="1"/>
  <c r="B9065" i="1"/>
  <c r="B15317" i="1"/>
  <c r="B11015" i="1"/>
  <c r="B5955" i="1"/>
  <c r="B860" i="1"/>
  <c r="B10997" i="1"/>
  <c r="B6969" i="1"/>
  <c r="B275" i="1"/>
  <c r="B9652" i="1"/>
  <c r="B16580" i="1"/>
  <c r="B1389" i="1"/>
  <c r="B16754" i="1"/>
  <c r="B11009" i="1"/>
  <c r="B7342" i="1"/>
  <c r="B9471" i="1"/>
  <c r="B8699" i="1"/>
  <c r="B9512" i="1"/>
  <c r="B769" i="1"/>
  <c r="B15718" i="1"/>
  <c r="B15907" i="1"/>
  <c r="B9454" i="1"/>
  <c r="B954" i="1"/>
  <c r="B16631" i="1"/>
  <c r="B17324" i="1"/>
  <c r="B16257" i="1"/>
  <c r="B8511" i="1"/>
  <c r="B2310" i="1"/>
  <c r="B17017" i="1"/>
  <c r="B5291" i="1"/>
  <c r="B395" i="1"/>
  <c r="B16094" i="1"/>
  <c r="B783" i="1"/>
  <c r="B3222" i="1"/>
  <c r="B6202" i="1"/>
  <c r="B17339" i="1"/>
  <c r="B9742" i="1"/>
  <c r="B15955" i="1"/>
  <c r="B14922" i="1"/>
  <c r="B337" i="1"/>
  <c r="B6453" i="1"/>
  <c r="B14264" i="1"/>
  <c r="B10692" i="1"/>
  <c r="B6321" i="1"/>
  <c r="B878" i="1"/>
  <c r="B13835" i="1"/>
  <c r="B15683" i="1"/>
  <c r="B10144" i="1"/>
  <c r="B17362" i="1"/>
  <c r="B1760" i="1"/>
  <c r="B17356" i="1"/>
  <c r="B6415" i="1"/>
  <c r="B14269" i="1"/>
  <c r="B10143" i="1"/>
  <c r="B14399" i="1"/>
  <c r="B6955" i="1"/>
  <c r="B6532" i="1"/>
  <c r="B9477" i="1"/>
  <c r="B9071" i="1"/>
  <c r="B15214" i="1"/>
  <c r="B8667" i="1"/>
  <c r="B7957" i="1"/>
  <c r="B17214" i="1"/>
  <c r="B9004" i="1"/>
  <c r="B14592" i="1"/>
  <c r="B663" i="1"/>
  <c r="B9877" i="1"/>
  <c r="B15899" i="1"/>
  <c r="B2290" i="1"/>
  <c r="B17502" i="1"/>
  <c r="B15271" i="1"/>
  <c r="B14188" i="1"/>
  <c r="B14687" i="1"/>
  <c r="B17873" i="1"/>
  <c r="B13977" i="1"/>
  <c r="B9084" i="1"/>
  <c r="B713" i="1"/>
  <c r="B15847" i="1"/>
  <c r="B1173" i="1"/>
  <c r="B2460" i="1"/>
  <c r="B6953" i="1"/>
  <c r="B9284" i="1"/>
  <c r="B9698" i="1"/>
  <c r="B17096" i="1"/>
  <c r="B6443" i="1"/>
  <c r="B9558" i="1"/>
  <c r="B14121" i="1"/>
  <c r="B9750" i="1"/>
  <c r="B8207" i="1"/>
  <c r="B8201" i="1"/>
  <c r="B8151" i="1"/>
  <c r="B8303" i="1"/>
  <c r="B8203" i="1"/>
  <c r="B17755" i="1"/>
  <c r="B8191" i="1"/>
  <c r="B7992" i="1"/>
  <c r="B6912" i="1"/>
  <c r="B6816" i="1"/>
  <c r="B16613" i="1"/>
  <c r="B1381" i="1"/>
  <c r="B15427" i="1"/>
  <c r="B2386" i="1"/>
  <c r="B16717" i="1"/>
  <c r="B7349" i="1"/>
  <c r="B5339" i="1"/>
  <c r="B9331" i="1"/>
  <c r="B7019" i="1"/>
  <c r="B15981" i="1"/>
  <c r="B16476" i="1"/>
  <c r="B10035" i="1"/>
  <c r="B13758" i="1"/>
  <c r="B6493" i="1"/>
  <c r="B15961" i="1"/>
  <c r="B4153" i="1"/>
  <c r="B1074" i="1"/>
  <c r="B8529" i="1"/>
  <c r="B14209" i="1"/>
  <c r="B891" i="1"/>
  <c r="B16853" i="1"/>
  <c r="B15997" i="1"/>
  <c r="B6363" i="1"/>
  <c r="B13947" i="1"/>
  <c r="B14198" i="1"/>
  <c r="B9645" i="1"/>
  <c r="B16936" i="1"/>
  <c r="B16916" i="1"/>
  <c r="B8665" i="1"/>
  <c r="B16270" i="1"/>
  <c r="B7367" i="1"/>
  <c r="B15782" i="1"/>
  <c r="B9731" i="1"/>
  <c r="B1216" i="1"/>
  <c r="B15433" i="1"/>
  <c r="B227" i="1"/>
  <c r="B14192" i="1"/>
  <c r="B5638" i="1"/>
  <c r="B6263" i="1"/>
  <c r="B1407" i="1"/>
  <c r="B6974" i="1"/>
  <c r="B15731" i="1"/>
  <c r="B15268" i="1"/>
  <c r="B17768" i="1"/>
  <c r="B17680" i="1"/>
  <c r="B17187" i="1"/>
  <c r="B15860" i="1"/>
  <c r="B7156" i="1"/>
  <c r="B6368" i="1"/>
  <c r="B16703" i="1"/>
  <c r="B16160" i="1"/>
  <c r="B255" i="1"/>
  <c r="B15715" i="1"/>
  <c r="B16467" i="1"/>
  <c r="B16811" i="1"/>
  <c r="B1212" i="1"/>
  <c r="B16288" i="1"/>
  <c r="B8317" i="1"/>
  <c r="B1222" i="1"/>
  <c r="B15771" i="1"/>
  <c r="B15698" i="1"/>
  <c r="B6424" i="1"/>
  <c r="B14983" i="1"/>
  <c r="B15804" i="1"/>
  <c r="B6281" i="1"/>
  <c r="B14128" i="1"/>
  <c r="B17345" i="1"/>
  <c r="B6021" i="1"/>
  <c r="B17683" i="1"/>
  <c r="B17629" i="1"/>
  <c r="B16144" i="1"/>
  <c r="B14869" i="1"/>
  <c r="B16024" i="1"/>
  <c r="B5795" i="1"/>
  <c r="B17391" i="1"/>
  <c r="B14910" i="1"/>
  <c r="B7264" i="1"/>
  <c r="B9514" i="1"/>
  <c r="B8099" i="1"/>
  <c r="B17166" i="1"/>
  <c r="B14935" i="1"/>
  <c r="B15896" i="1"/>
  <c r="B9689" i="1"/>
  <c r="B14911" i="1"/>
  <c r="B7700" i="1"/>
  <c r="B15984" i="1"/>
  <c r="B16281" i="1"/>
  <c r="B916" i="1"/>
  <c r="B15854" i="1"/>
  <c r="B16058" i="1"/>
  <c r="B9363" i="1"/>
  <c r="B8967" i="1"/>
  <c r="B17790" i="1"/>
  <c r="B17386" i="1"/>
  <c r="B237" i="1"/>
  <c r="B15708" i="1"/>
  <c r="B16714" i="1"/>
  <c r="B17556" i="1"/>
  <c r="B6164" i="1"/>
  <c r="B9210" i="1"/>
  <c r="B6465" i="1"/>
  <c r="B15663" i="1"/>
  <c r="B10158" i="1"/>
  <c r="B10808" i="1"/>
  <c r="B16792" i="1"/>
  <c r="B17429" i="1"/>
  <c r="B1018" i="1"/>
  <c r="B9101" i="1"/>
  <c r="B15465" i="1"/>
  <c r="B8787" i="1"/>
  <c r="B14670" i="1"/>
  <c r="B9894" i="1"/>
  <c r="B8177" i="1"/>
  <c r="B17157" i="1"/>
  <c r="B15826" i="1"/>
  <c r="B9117" i="1"/>
  <c r="B17262" i="1"/>
  <c r="B8126" i="1"/>
  <c r="B16350" i="1"/>
  <c r="B14816" i="1"/>
  <c r="B3195" i="1"/>
  <c r="B185" i="1"/>
  <c r="B2312" i="1"/>
  <c r="B1781" i="1"/>
  <c r="B3450" i="1"/>
  <c r="B17007" i="1"/>
  <c r="B8930" i="1"/>
  <c r="B8909" i="1"/>
  <c r="B2397" i="1"/>
  <c r="B6316" i="1"/>
  <c r="B9705" i="1"/>
  <c r="B299" i="1"/>
  <c r="B6417" i="1"/>
  <c r="B17539" i="1"/>
  <c r="B4822" i="1"/>
  <c r="B14809" i="1"/>
  <c r="B6166" i="1"/>
  <c r="B9307" i="1"/>
  <c r="B9453" i="1"/>
  <c r="B8635" i="1"/>
  <c r="B14101" i="1"/>
  <c r="B16903" i="1"/>
  <c r="B15591" i="1"/>
  <c r="B628" i="1"/>
  <c r="B16531" i="1"/>
  <c r="B15479" i="1"/>
  <c r="B7374" i="1"/>
  <c r="B8946" i="1"/>
  <c r="B8792" i="1"/>
  <c r="B7487" i="1"/>
  <c r="B1705" i="1"/>
  <c r="B1346" i="1"/>
  <c r="B17363" i="1"/>
  <c r="B16473" i="1"/>
  <c r="B6242" i="1"/>
  <c r="B17557" i="1"/>
  <c r="B7166" i="1"/>
  <c r="B17863" i="1"/>
  <c r="B16377" i="1"/>
  <c r="B548" i="1"/>
  <c r="B671" i="1"/>
  <c r="B16224" i="1"/>
  <c r="B15895" i="1"/>
  <c r="B17778" i="1"/>
  <c r="B16501" i="1"/>
  <c r="B17097" i="1"/>
  <c r="B16448" i="1"/>
  <c r="B16897" i="1"/>
  <c r="B9787" i="1"/>
  <c r="B9287" i="1"/>
  <c r="B17099" i="1"/>
  <c r="B15900" i="1"/>
  <c r="B13789" i="1"/>
  <c r="B16036" i="1"/>
  <c r="B16767" i="1"/>
  <c r="B1141" i="1"/>
  <c r="B8706" i="1"/>
  <c r="B8366" i="1"/>
  <c r="B120" i="1"/>
  <c r="B17072" i="1"/>
  <c r="B15484" i="1"/>
  <c r="B6209" i="1"/>
  <c r="B7277" i="1"/>
  <c r="B6395" i="1"/>
  <c r="B6063" i="1"/>
  <c r="B7268" i="1"/>
  <c r="B2302" i="1"/>
  <c r="B5899" i="1"/>
  <c r="B17803" i="1"/>
  <c r="B6450" i="1"/>
  <c r="B16153" i="1"/>
  <c r="B15774" i="1"/>
  <c r="B8617" i="1"/>
  <c r="B4651" i="1"/>
  <c r="B16851" i="1"/>
  <c r="B6737" i="1"/>
  <c r="B17792" i="1"/>
  <c r="B5476" i="1"/>
  <c r="B4625" i="1"/>
  <c r="B16828" i="1"/>
  <c r="B9128" i="1"/>
  <c r="B943" i="1"/>
  <c r="B6919" i="1"/>
  <c r="B14200" i="1"/>
  <c r="B14364" i="1"/>
  <c r="B6352" i="1"/>
  <c r="B16602" i="1"/>
  <c r="B17156" i="1"/>
  <c r="B896" i="1"/>
  <c r="B10147" i="1"/>
  <c r="B14607" i="1"/>
  <c r="B6300" i="1"/>
  <c r="B9900" i="1"/>
  <c r="B17712" i="1"/>
  <c r="B16668" i="1"/>
  <c r="B5484" i="1"/>
  <c r="B84" i="1"/>
  <c r="B17498" i="1"/>
  <c r="B17128" i="1"/>
  <c r="B675" i="1"/>
  <c r="B313" i="1"/>
  <c r="B16481" i="1"/>
  <c r="B7780" i="1"/>
  <c r="B16888" i="1"/>
  <c r="B8749" i="1"/>
  <c r="B9241" i="1"/>
  <c r="B16490" i="1"/>
  <c r="B9502" i="1"/>
  <c r="B8176" i="1"/>
  <c r="B301" i="1"/>
  <c r="B9354" i="1"/>
  <c r="B14016" i="1"/>
  <c r="B7262" i="1"/>
  <c r="B15312" i="1"/>
  <c r="B7204" i="1"/>
  <c r="B6003" i="1"/>
  <c r="B7934" i="1"/>
  <c r="B5840" i="1"/>
  <c r="B6381" i="1"/>
  <c r="B13863" i="1"/>
  <c r="B7208" i="1"/>
  <c r="B8163" i="1"/>
  <c r="B14295" i="1"/>
  <c r="B9827" i="1"/>
  <c r="B394" i="1"/>
  <c r="B6476" i="1"/>
  <c r="B10873" i="1"/>
  <c r="B9457" i="1"/>
  <c r="B16401" i="1"/>
  <c r="B15518" i="1"/>
  <c r="B15221" i="1"/>
  <c r="B16788" i="1"/>
  <c r="B16866" i="1"/>
  <c r="B988" i="1"/>
  <c r="B163" i="1"/>
  <c r="B15954" i="1"/>
  <c r="B17136" i="1"/>
  <c r="B17454" i="1"/>
  <c r="B6340" i="1"/>
  <c r="B9987" i="1"/>
  <c r="B1348" i="1"/>
  <c r="B7263" i="1"/>
  <c r="B7214" i="1"/>
  <c r="B8518" i="1"/>
  <c r="B16664" i="1"/>
  <c r="B17860" i="1"/>
  <c r="B9216" i="1"/>
  <c r="B9413" i="1"/>
  <c r="B17354" i="1"/>
  <c r="B9145" i="1"/>
  <c r="B1482" i="1"/>
  <c r="B1226" i="1"/>
  <c r="B17777" i="1"/>
  <c r="B8586" i="1"/>
  <c r="B158" i="1"/>
  <c r="B7172" i="1"/>
  <c r="B9610" i="1"/>
  <c r="B9640" i="1"/>
  <c r="B16706" i="1"/>
  <c r="B14054" i="1"/>
  <c r="B14191" i="1"/>
  <c r="B14614" i="1"/>
  <c r="B8837" i="1"/>
  <c r="B17807" i="1"/>
  <c r="B17070" i="1"/>
  <c r="B16727" i="1"/>
  <c r="B15812" i="1"/>
  <c r="B15919" i="1"/>
  <c r="B14133" i="1"/>
  <c r="B9328" i="1"/>
  <c r="B15995" i="1"/>
  <c r="B8652" i="1"/>
  <c r="B703" i="1"/>
  <c r="B6833" i="1"/>
  <c r="B5366" i="1"/>
  <c r="B8355" i="1"/>
  <c r="B1042" i="1"/>
  <c r="B8405" i="1"/>
  <c r="B14410" i="1"/>
  <c r="B16660" i="1"/>
  <c r="B630" i="1"/>
  <c r="B8330" i="1"/>
  <c r="B15964" i="1"/>
  <c r="B3354" i="1"/>
  <c r="B15850" i="1"/>
  <c r="B14092" i="1"/>
  <c r="B14658" i="1"/>
  <c r="B17576" i="1"/>
  <c r="B8541" i="1"/>
  <c r="B16246" i="1"/>
  <c r="B17670" i="1"/>
  <c r="B10106" i="1"/>
  <c r="B10716" i="1"/>
  <c r="B15216" i="1"/>
  <c r="B15352" i="1"/>
  <c r="B15861" i="1"/>
  <c r="B6528" i="1"/>
  <c r="B8593" i="1"/>
  <c r="B9480" i="1"/>
  <c r="B17546" i="1"/>
  <c r="B8528" i="1"/>
  <c r="B8815" i="1"/>
  <c r="B6449" i="1"/>
  <c r="B8876" i="1"/>
  <c r="B7258" i="1"/>
  <c r="B3757" i="1"/>
  <c r="B8589" i="1"/>
  <c r="B9443" i="1"/>
  <c r="B14616" i="1"/>
  <c r="B9957" i="1"/>
  <c r="B9891" i="1"/>
  <c r="B16570" i="1"/>
  <c r="B16412" i="1"/>
  <c r="B16372" i="1"/>
  <c r="B5396" i="1"/>
  <c r="B17265" i="1"/>
  <c r="B14353" i="1"/>
  <c r="B2934" i="1"/>
  <c r="B17285" i="1"/>
  <c r="B15807" i="1"/>
  <c r="B1114" i="1"/>
  <c r="B1067" i="1"/>
  <c r="B17508" i="1"/>
  <c r="B9387" i="1"/>
  <c r="B16497" i="1"/>
  <c r="B15155" i="1"/>
  <c r="B8413" i="1"/>
  <c r="B16659" i="1"/>
  <c r="B10113" i="1"/>
  <c r="B8654" i="1"/>
  <c r="B15843" i="1"/>
  <c r="B15142" i="1"/>
  <c r="B17704" i="1"/>
  <c r="B9217" i="1"/>
  <c r="B6420" i="1"/>
  <c r="B17273" i="1"/>
  <c r="B15115" i="1"/>
  <c r="B8973" i="1"/>
  <c r="B17431" i="1"/>
  <c r="B9400" i="1"/>
  <c r="B8816" i="1"/>
  <c r="B16510" i="1"/>
  <c r="B5379" i="1"/>
  <c r="B15358" i="1"/>
  <c r="B15380" i="1"/>
  <c r="B15666" i="1"/>
  <c r="B6184" i="1"/>
  <c r="B9096" i="1"/>
  <c r="B14545" i="1"/>
  <c r="B16651" i="1"/>
  <c r="B16267" i="1"/>
  <c r="B15904" i="1"/>
  <c r="B8290" i="1"/>
  <c r="B17146" i="1"/>
  <c r="B14929" i="1"/>
  <c r="B15347" i="1"/>
  <c r="B17494" i="1"/>
  <c r="B15530" i="1"/>
  <c r="B9199" i="1"/>
  <c r="B9860" i="1"/>
  <c r="B5809" i="1"/>
  <c r="B9253" i="1"/>
  <c r="B16325" i="1"/>
  <c r="B14117" i="1"/>
  <c r="B6146" i="1"/>
  <c r="B5806" i="1"/>
  <c r="B5959" i="1"/>
  <c r="B5799" i="1"/>
  <c r="B5844" i="1"/>
  <c r="B14758" i="1"/>
  <c r="B6274" i="1"/>
  <c r="B16432" i="1"/>
  <c r="B588" i="1"/>
  <c r="B15748" i="1"/>
  <c r="B17238" i="1"/>
  <c r="B8762" i="1"/>
  <c r="B14196" i="1"/>
  <c r="B7990" i="1"/>
  <c r="B16103" i="1"/>
  <c r="B8131" i="1"/>
  <c r="B17721" i="1"/>
  <c r="B16536" i="1"/>
  <c r="B17164" i="1"/>
  <c r="B14166" i="1"/>
  <c r="B9375" i="1"/>
  <c r="B5752" i="1"/>
  <c r="B15611" i="1"/>
  <c r="B17312" i="1"/>
  <c r="B17228" i="1"/>
  <c r="B16713" i="1"/>
  <c r="B8579" i="1"/>
  <c r="B17451" i="1"/>
  <c r="B9814" i="1"/>
  <c r="B8130" i="1"/>
  <c r="B9139" i="1"/>
  <c r="B1134" i="1"/>
  <c r="B5325" i="1"/>
  <c r="B9530" i="1"/>
  <c r="B6037" i="1"/>
  <c r="B17864" i="1"/>
  <c r="B6169" i="1"/>
  <c r="B16906" i="1"/>
  <c r="B15319" i="1"/>
  <c r="B8855" i="1"/>
  <c r="B1388" i="1"/>
  <c r="B15331" i="1"/>
  <c r="B17601" i="1"/>
  <c r="B17708" i="1"/>
  <c r="B17880" i="1"/>
  <c r="B13956" i="1"/>
  <c r="B10076" i="1"/>
  <c r="B16123" i="1"/>
  <c r="B17407" i="1"/>
  <c r="B17490" i="1"/>
  <c r="B17464" i="1"/>
  <c r="B7905" i="1"/>
  <c r="B17688" i="1"/>
  <c r="B8432" i="1"/>
  <c r="B8023" i="1"/>
  <c r="B8411" i="1"/>
  <c r="B871" i="1"/>
  <c r="B10544" i="1"/>
  <c r="B17766" i="1"/>
  <c r="B17489" i="1"/>
  <c r="B17586" i="1"/>
  <c r="B2301" i="1"/>
  <c r="B2967" i="1"/>
  <c r="B15821" i="1"/>
  <c r="B6585" i="1"/>
  <c r="B16978" i="1"/>
  <c r="B17075" i="1"/>
  <c r="B7697" i="1"/>
  <c r="B14032" i="1"/>
  <c r="B8942" i="1"/>
  <c r="B5722" i="1"/>
  <c r="B5739" i="1"/>
  <c r="B8320" i="1"/>
  <c r="B7320" i="1"/>
  <c r="B10303" i="1"/>
  <c r="B6324" i="1"/>
  <c r="B7918" i="1"/>
  <c r="B9027" i="1"/>
  <c r="B9355" i="1"/>
  <c r="B17270" i="1"/>
  <c r="B1169" i="1"/>
  <c r="B17611" i="1"/>
  <c r="B16558" i="1"/>
  <c r="B9555" i="1"/>
  <c r="B14029" i="1"/>
  <c r="B8807" i="1"/>
  <c r="B1062" i="1"/>
  <c r="B14273" i="1"/>
  <c r="B15217" i="1"/>
  <c r="B1466" i="1"/>
  <c r="B15661" i="1"/>
  <c r="B14830" i="1"/>
  <c r="B8178" i="1"/>
  <c r="B7160" i="1"/>
  <c r="B16977" i="1"/>
  <c r="B6179" i="1"/>
  <c r="B17610" i="1"/>
  <c r="B199" i="1"/>
  <c r="B14055" i="1"/>
  <c r="B990" i="1"/>
  <c r="B9667" i="1"/>
  <c r="B16017" i="1"/>
  <c r="B362" i="1"/>
  <c r="B17430" i="1"/>
  <c r="B6252" i="1"/>
  <c r="B15338" i="1"/>
  <c r="B17202" i="1"/>
  <c r="B10119" i="1"/>
  <c r="B14207" i="1"/>
  <c r="B6937" i="1"/>
  <c r="B749" i="1"/>
  <c r="B1233" i="1"/>
  <c r="B14431" i="1"/>
  <c r="B5445" i="1"/>
  <c r="B2725" i="1"/>
  <c r="B17500" i="1"/>
  <c r="B15957" i="1"/>
  <c r="B9538" i="1"/>
  <c r="B17575" i="1"/>
  <c r="B11007" i="1"/>
  <c r="B16847" i="1"/>
  <c r="B9278" i="1"/>
  <c r="B9343" i="1"/>
  <c r="B9288" i="1"/>
  <c r="B5395" i="1"/>
  <c r="B16684" i="1"/>
  <c r="B9526" i="1"/>
  <c r="B15501" i="1"/>
  <c r="B6336" i="1"/>
  <c r="B2153" i="1"/>
  <c r="B15817" i="1"/>
  <c r="B7605" i="1"/>
  <c r="B16522" i="1"/>
  <c r="B15740" i="1"/>
  <c r="B14951" i="1"/>
  <c r="B15514" i="1"/>
  <c r="B13845" i="1"/>
  <c r="B16202" i="1"/>
  <c r="B637" i="1"/>
  <c r="B15838" i="1"/>
  <c r="B8067" i="1"/>
  <c r="B16427" i="1"/>
  <c r="B3672" i="1"/>
  <c r="B8902" i="1"/>
  <c r="B419" i="1"/>
  <c r="B15022" i="1"/>
  <c r="B17450" i="1"/>
  <c r="B16530" i="1"/>
  <c r="B9353" i="1"/>
  <c r="B2309" i="1"/>
  <c r="B1177" i="1"/>
  <c r="B6255" i="1"/>
  <c r="B184" i="1"/>
  <c r="B14952" i="1"/>
  <c r="B17085" i="1"/>
  <c r="B16889" i="1"/>
  <c r="B6455" i="1"/>
  <c r="B17071" i="1"/>
  <c r="B17277" i="1"/>
  <c r="B5712" i="1"/>
  <c r="B6320" i="1"/>
  <c r="B246" i="1"/>
  <c r="B7197" i="1"/>
  <c r="B6299" i="1"/>
  <c r="B6308" i="1"/>
  <c r="B17487" i="1"/>
  <c r="B13856" i="1"/>
  <c r="B15752" i="1"/>
  <c r="B17314" i="1"/>
  <c r="B16528" i="1"/>
  <c r="B1476" i="1"/>
  <c r="B15394" i="1"/>
  <c r="B9862" i="1"/>
  <c r="B9493" i="1"/>
  <c r="B16552" i="1"/>
  <c r="B17761" i="1"/>
  <c r="B1090" i="1"/>
  <c r="B9582" i="1"/>
  <c r="B756" i="1"/>
  <c r="B17054" i="1"/>
  <c r="B8657" i="1"/>
  <c r="B763" i="1"/>
  <c r="B652" i="1"/>
  <c r="B9981" i="1"/>
  <c r="B15583" i="1"/>
  <c r="B9029" i="1"/>
  <c r="B15337" i="1"/>
  <c r="B15959" i="1"/>
  <c r="B68" i="1"/>
  <c r="B15295" i="1"/>
  <c r="B2087" i="1"/>
  <c r="B959" i="1"/>
  <c r="B16621" i="1"/>
  <c r="B2735" i="1"/>
  <c r="B10086" i="1"/>
  <c r="B7191" i="1"/>
  <c r="B6338" i="1"/>
  <c r="B15575" i="1"/>
  <c r="B16343" i="1"/>
  <c r="B17094" i="1"/>
  <c r="B16678" i="1"/>
  <c r="B15117" i="1"/>
  <c r="B15408" i="1"/>
  <c r="B17151" i="1"/>
  <c r="B9969" i="1"/>
  <c r="B14179" i="1"/>
  <c r="B10070" i="1"/>
  <c r="B6441" i="1"/>
  <c r="B15009" i="1"/>
  <c r="B7862" i="1"/>
  <c r="B8199" i="1"/>
  <c r="B8079" i="1"/>
  <c r="B17387" i="1"/>
  <c r="B5666" i="1"/>
  <c r="B1019" i="1"/>
  <c r="B775" i="1"/>
  <c r="B989" i="1"/>
  <c r="B1375" i="1"/>
  <c r="B9184" i="1"/>
  <c r="B701" i="1"/>
  <c r="B5118" i="1"/>
  <c r="B963" i="1"/>
  <c r="B15276" i="1"/>
  <c r="B15567" i="1"/>
  <c r="B942" i="1"/>
  <c r="B272" i="1"/>
  <c r="B9968" i="1"/>
  <c r="B16070" i="1"/>
  <c r="B16534" i="1"/>
  <c r="B8225" i="1"/>
  <c r="B15786" i="1"/>
  <c r="B9819" i="1"/>
  <c r="B8451" i="1"/>
  <c r="B6069" i="1"/>
  <c r="B17773" i="1"/>
  <c r="B16764" i="1"/>
  <c r="B2403" i="1"/>
  <c r="B16702" i="1"/>
  <c r="B17530" i="1"/>
  <c r="B374" i="1"/>
  <c r="B17175" i="1"/>
  <c r="B6500" i="1"/>
  <c r="B3048" i="1"/>
  <c r="B8272" i="1"/>
  <c r="B720" i="1"/>
  <c r="B17160" i="1"/>
  <c r="B15924" i="1"/>
  <c r="B9974" i="1"/>
  <c r="B9632" i="1"/>
  <c r="B9656" i="1"/>
  <c r="B17609" i="1"/>
  <c r="B17299" i="1"/>
  <c r="B15585" i="1"/>
  <c r="B809" i="1"/>
  <c r="B807" i="1"/>
  <c r="B9760" i="1"/>
  <c r="B17388" i="1"/>
  <c r="B10598" i="1"/>
  <c r="B8398" i="1"/>
  <c r="B7639" i="1"/>
  <c r="B2034" i="1"/>
  <c r="B7995" i="1"/>
  <c r="B16175" i="1"/>
  <c r="B15526" i="1"/>
  <c r="B17635" i="1"/>
  <c r="B1290" i="1"/>
  <c r="B8293" i="1"/>
  <c r="B13993" i="1"/>
  <c r="B260" i="1"/>
  <c r="B14569" i="1"/>
  <c r="B9921" i="1"/>
  <c r="B221" i="1"/>
  <c r="B15836" i="1"/>
  <c r="B14940" i="1"/>
  <c r="B17876" i="1"/>
  <c r="B2315" i="1"/>
  <c r="B479" i="1"/>
  <c r="B11121" i="1"/>
  <c r="B2777" i="1"/>
  <c r="B15381" i="1"/>
  <c r="B14893" i="1"/>
  <c r="B15300" i="1"/>
  <c r="B5571" i="1"/>
  <c r="B6442" i="1"/>
  <c r="B17013" i="1"/>
  <c r="B1027" i="1"/>
  <c r="B8418" i="1"/>
  <c r="B15395" i="1"/>
  <c r="B6846" i="1"/>
  <c r="B8614" i="1"/>
  <c r="B1506" i="1"/>
  <c r="B8452" i="1"/>
  <c r="B1274" i="1"/>
  <c r="B2451" i="1"/>
  <c r="B16416" i="1"/>
  <c r="B3406" i="1"/>
  <c r="B9283" i="1"/>
  <c r="B17449" i="1"/>
  <c r="B16278" i="1"/>
  <c r="B295" i="1"/>
  <c r="B6413" i="1"/>
  <c r="B9168" i="1"/>
  <c r="B9155" i="1"/>
  <c r="B16803" i="1"/>
  <c r="B6260" i="1"/>
  <c r="B6372" i="1"/>
  <c r="B8922" i="1"/>
  <c r="B921" i="1"/>
  <c r="B1095" i="1"/>
  <c r="B821" i="1"/>
  <c r="B16747" i="1"/>
  <c r="B16292" i="1"/>
  <c r="B16005" i="1"/>
  <c r="B2388" i="1"/>
  <c r="B6358" i="1"/>
  <c r="B15409" i="1"/>
  <c r="B10128" i="1"/>
  <c r="B6451" i="1"/>
  <c r="B207" i="1"/>
  <c r="B6485" i="1"/>
  <c r="B16862" i="1"/>
  <c r="B7311" i="1"/>
  <c r="B8590" i="1"/>
  <c r="B7695" i="1"/>
  <c r="B7350" i="1"/>
  <c r="B14155" i="1"/>
  <c r="B17020" i="1"/>
  <c r="B8879" i="1"/>
  <c r="B11068" i="1"/>
  <c r="B463" i="1"/>
  <c r="B8995" i="1"/>
  <c r="B16980" i="1"/>
  <c r="B5895" i="1"/>
  <c r="B17039" i="1"/>
  <c r="B686" i="1"/>
  <c r="B6334" i="1"/>
  <c r="B15648" i="1"/>
  <c r="B6383" i="1"/>
  <c r="B17630" i="1"/>
  <c r="B17749" i="1"/>
  <c r="B17780" i="1"/>
  <c r="B9906" i="1"/>
  <c r="B8974" i="1"/>
  <c r="B3204" i="1"/>
  <c r="B4441" i="1"/>
  <c r="B9937" i="1"/>
  <c r="B7265" i="1"/>
  <c r="B7316" i="1"/>
  <c r="B965" i="1"/>
  <c r="B7152" i="1"/>
  <c r="B17730" i="1"/>
  <c r="B16835" i="1"/>
  <c r="B7848" i="1"/>
  <c r="B6382" i="1"/>
  <c r="B15735" i="1"/>
  <c r="B735" i="1"/>
  <c r="B16437" i="1"/>
  <c r="B6328" i="1"/>
  <c r="B9286" i="1"/>
  <c r="B16402" i="1"/>
  <c r="B17100" i="1"/>
  <c r="B6960" i="1"/>
  <c r="B16970" i="1"/>
  <c r="B5913" i="1"/>
  <c r="B15546" i="1"/>
  <c r="B5505" i="1"/>
  <c r="B5451" i="1"/>
  <c r="B17789" i="1"/>
  <c r="B9415" i="1"/>
  <c r="B13866" i="1"/>
  <c r="B16424" i="1"/>
  <c r="B6044" i="1"/>
  <c r="B16555" i="1"/>
  <c r="B1007" i="1"/>
  <c r="B8168" i="1"/>
  <c r="B16927" i="1"/>
  <c r="B6410" i="1"/>
  <c r="B1081" i="1"/>
  <c r="B6494" i="1"/>
  <c r="B9344" i="1"/>
  <c r="B6172" i="1"/>
  <c r="B47" i="1"/>
  <c r="B6072" i="1"/>
  <c r="B7153" i="1"/>
  <c r="B2092" i="1"/>
  <c r="B16113" i="1"/>
  <c r="B16415" i="1"/>
  <c r="B17663" i="1"/>
  <c r="B17822" i="1"/>
  <c r="B2860" i="1"/>
  <c r="B7294" i="1"/>
  <c r="B15624" i="1"/>
  <c r="B8619" i="1"/>
  <c r="B14152" i="1"/>
  <c r="B16169" i="1"/>
  <c r="B9112" i="1"/>
  <c r="B8326" i="1"/>
  <c r="B131" i="1"/>
  <c r="B8802" i="1"/>
  <c r="B14775" i="1"/>
  <c r="B9200" i="1"/>
  <c r="B17231" i="1"/>
  <c r="B17123" i="1"/>
  <c r="B10133" i="1"/>
  <c r="B108" i="1"/>
  <c r="B16116" i="1"/>
  <c r="B17888" i="1"/>
  <c r="B9364" i="1"/>
  <c r="B16881" i="1"/>
  <c r="B6684" i="1"/>
  <c r="B2324" i="1"/>
  <c r="B2110" i="1"/>
  <c r="B9269" i="1"/>
  <c r="B7979" i="1"/>
  <c r="B8406" i="1"/>
  <c r="B9273" i="1"/>
  <c r="B8404" i="1"/>
  <c r="B514" i="1"/>
  <c r="B6633" i="1"/>
  <c r="B2424" i="1"/>
  <c r="B16622" i="1"/>
  <c r="B17242" i="1"/>
  <c r="B484" i="1"/>
  <c r="B17203" i="1"/>
  <c r="B16665" i="1"/>
  <c r="B9739" i="1"/>
  <c r="B6036" i="1"/>
  <c r="B917" i="1"/>
  <c r="B9918" i="1"/>
  <c r="B14501" i="1"/>
  <c r="B2716" i="1"/>
  <c r="B8591" i="1"/>
  <c r="B9539" i="1"/>
  <c r="B8570" i="1"/>
  <c r="B14361" i="1"/>
  <c r="B14301" i="1"/>
  <c r="B5893" i="1"/>
  <c r="B17714" i="1"/>
  <c r="B15976" i="1"/>
  <c r="B16177" i="1"/>
  <c r="B16458" i="1"/>
  <c r="B496" i="1"/>
  <c r="B15322" i="1"/>
  <c r="B15551" i="1"/>
  <c r="B8960" i="1"/>
  <c r="B6985" i="1"/>
  <c r="B15622" i="1"/>
  <c r="B17448" i="1"/>
  <c r="B1039" i="1"/>
  <c r="B17308" i="1"/>
  <c r="B17236" i="1"/>
  <c r="B16503" i="1"/>
  <c r="B16979" i="1"/>
  <c r="B6326" i="1"/>
  <c r="B2974" i="1"/>
  <c r="B9010" i="1"/>
  <c r="B7360" i="1"/>
  <c r="B16829" i="1"/>
  <c r="B15320" i="1"/>
  <c r="B15032" i="1"/>
  <c r="B1305" i="1"/>
  <c r="B16538" i="1"/>
  <c r="B7344" i="1"/>
  <c r="B7281" i="1"/>
  <c r="B15245" i="1"/>
  <c r="B7300" i="1"/>
  <c r="B7280" i="1"/>
  <c r="B10823" i="1"/>
  <c r="B16230" i="1"/>
  <c r="B797" i="1"/>
  <c r="B9373" i="1"/>
  <c r="B9464" i="1"/>
  <c r="B506" i="1"/>
  <c r="B17867" i="1"/>
  <c r="B15296" i="1"/>
  <c r="B128" i="1"/>
  <c r="B15654" i="1"/>
  <c r="B17068" i="1"/>
  <c r="B5401" i="1"/>
  <c r="B7259" i="1"/>
  <c r="B7775" i="1"/>
  <c r="B15049" i="1"/>
  <c r="B9982" i="1"/>
  <c r="B16818" i="1"/>
  <c r="B880" i="1"/>
  <c r="B6071" i="1"/>
  <c r="B16932" i="1"/>
  <c r="B1058" i="1"/>
  <c r="B9591" i="1"/>
  <c r="B8892" i="1"/>
  <c r="B15199" i="1"/>
  <c r="B6432" i="1"/>
  <c r="B7603" i="1"/>
  <c r="B6396" i="1"/>
  <c r="B17769" i="1"/>
  <c r="B15665" i="1"/>
  <c r="B6516" i="1"/>
  <c r="B6568" i="1"/>
  <c r="B9784" i="1"/>
  <c r="B17225" i="1"/>
  <c r="B17015" i="1"/>
  <c r="B687" i="1"/>
  <c r="B9670" i="1"/>
  <c r="B7500" i="1"/>
  <c r="B8205" i="1"/>
  <c r="B15562" i="1"/>
  <c r="B7495" i="1"/>
  <c r="B408" i="1"/>
  <c r="B9872" i="1"/>
  <c r="B16537" i="1"/>
  <c r="B17825" i="1"/>
  <c r="B17066" i="1"/>
  <c r="B1441" i="1"/>
  <c r="B6558" i="1"/>
  <c r="B7232" i="1"/>
  <c r="B17372" i="1"/>
  <c r="B6107" i="1"/>
  <c r="B6379" i="1"/>
  <c r="B8738" i="1"/>
  <c r="B8129" i="1"/>
  <c r="B16890" i="1"/>
  <c r="B16938" i="1"/>
  <c r="B10183" i="1"/>
  <c r="B16409" i="1"/>
  <c r="B7164" i="1"/>
  <c r="B1144" i="1"/>
  <c r="B16625" i="1"/>
  <c r="B685" i="1"/>
  <c r="B8033" i="1"/>
  <c r="B17347" i="1"/>
  <c r="B6957" i="1"/>
  <c r="B13820" i="1"/>
  <c r="B8915" i="1"/>
  <c r="B14412" i="1"/>
  <c r="B4889" i="1"/>
  <c r="B3581" i="1"/>
  <c r="B17295" i="1"/>
  <c r="B9907" i="1"/>
  <c r="B15517" i="1"/>
  <c r="B16471" i="1"/>
  <c r="B9487" i="1"/>
  <c r="B9489" i="1"/>
  <c r="B1257" i="1"/>
  <c r="B15495" i="1"/>
  <c r="B499" i="1"/>
  <c r="B17666" i="1"/>
  <c r="B17588" i="1"/>
  <c r="B15420" i="1"/>
  <c r="B5860" i="1"/>
  <c r="B16134" i="1"/>
  <c r="B1247" i="1"/>
  <c r="B7061" i="1"/>
  <c r="B1121" i="1"/>
  <c r="B15125" i="1"/>
  <c r="B8784" i="1"/>
  <c r="B17814" i="1"/>
  <c r="B10164" i="1"/>
  <c r="B17118" i="1"/>
  <c r="B15098" i="1"/>
  <c r="B15949" i="1"/>
  <c r="B9623" i="1"/>
  <c r="B224" i="1"/>
  <c r="B17570" i="1"/>
  <c r="B925" i="1"/>
  <c r="B16568" i="1"/>
  <c r="B7466" i="1"/>
  <c r="B7493" i="1"/>
  <c r="B7469" i="1"/>
  <c r="B540" i="1"/>
  <c r="B8803" i="1"/>
  <c r="B2442" i="1"/>
  <c r="B17409" i="1"/>
  <c r="B17743" i="1"/>
  <c r="B1011" i="1"/>
  <c r="B6523" i="1"/>
  <c r="B2410" i="1"/>
  <c r="B8984" i="1"/>
  <c r="B16326" i="1"/>
  <c r="B7338" i="1"/>
  <c r="B16672" i="1"/>
  <c r="B17135" i="1"/>
  <c r="B17764" i="1"/>
  <c r="B10009" i="1"/>
  <c r="B17418" i="1"/>
  <c r="B17628" i="1"/>
  <c r="B1240" i="1"/>
  <c r="B9169" i="1"/>
  <c r="B9712" i="1"/>
  <c r="B6627" i="1"/>
  <c r="B8519" i="1"/>
  <c r="B3250" i="1"/>
  <c r="B15704" i="1"/>
  <c r="B9825" i="1"/>
  <c r="B17149" i="1"/>
  <c r="B2020" i="1"/>
  <c r="B16379" i="1"/>
  <c r="B3425" i="1"/>
  <c r="B15647" i="1"/>
  <c r="B310" i="1"/>
  <c r="B15932" i="1"/>
  <c r="B16680" i="1"/>
  <c r="B14601" i="1"/>
  <c r="B5418" i="1"/>
  <c r="B14930" i="1"/>
  <c r="B624" i="1"/>
  <c r="B13875" i="1"/>
  <c r="B16857" i="1"/>
  <c r="B17631" i="1"/>
  <c r="B2597" i="1"/>
  <c r="B9786" i="1"/>
  <c r="B15303" i="1"/>
  <c r="B6262" i="1"/>
  <c r="B187" i="1"/>
  <c r="B1155" i="1"/>
  <c r="B15604" i="1"/>
  <c r="B15248" i="1"/>
  <c r="B1066" i="1"/>
  <c r="B8601" i="1"/>
  <c r="B17669" i="1"/>
  <c r="B8415" i="1"/>
  <c r="B877" i="1"/>
  <c r="B14334" i="1"/>
  <c r="B17196" i="1"/>
  <c r="B6892" i="1"/>
  <c r="B9848" i="1"/>
  <c r="B8771" i="1"/>
  <c r="B9320" i="1"/>
  <c r="B7613" i="1"/>
  <c r="B10114" i="1"/>
  <c r="B3236" i="1"/>
  <c r="B8636" i="1"/>
  <c r="B2411" i="1"/>
  <c r="B9230" i="1"/>
  <c r="B9621" i="1"/>
  <c r="B13914" i="1"/>
  <c r="B8737" i="1"/>
  <c r="B9422" i="1"/>
  <c r="B9533" i="1"/>
  <c r="B8500" i="1"/>
  <c r="B16945" i="1"/>
  <c r="B8016" i="1"/>
  <c r="B17130" i="1"/>
  <c r="B976" i="1"/>
  <c r="B16585" i="1"/>
  <c r="B5949" i="1"/>
  <c r="B441" i="1"/>
  <c r="B14261" i="1"/>
  <c r="B5428" i="1"/>
  <c r="B14241" i="1"/>
  <c r="B13844" i="1"/>
  <c r="B252" i="1"/>
  <c r="B16872" i="1"/>
  <c r="B6497" i="1"/>
  <c r="B15234" i="1"/>
  <c r="B15372" i="1"/>
  <c r="B1097" i="1"/>
  <c r="B16100" i="1"/>
  <c r="B13979" i="1"/>
  <c r="B15351" i="1"/>
  <c r="B16251" i="1"/>
  <c r="B17715" i="1"/>
  <c r="B433" i="1"/>
  <c r="B17169" i="1"/>
  <c r="B15392" i="1"/>
  <c r="B15120" i="1"/>
  <c r="B15447" i="1"/>
  <c r="B9030" i="1"/>
  <c r="B17889" i="1"/>
  <c r="B17879" i="1"/>
  <c r="B1504" i="1"/>
  <c r="B17797" i="1"/>
  <c r="B15205" i="1"/>
  <c r="B16237" i="1"/>
  <c r="B13799" i="1"/>
  <c r="B6461" i="1"/>
  <c r="B5565" i="1"/>
  <c r="B17395" i="1"/>
  <c r="B5593" i="1"/>
  <c r="B5579" i="1"/>
  <c r="B2350" i="1"/>
  <c r="B2348" i="1"/>
  <c r="B9097" i="1"/>
  <c r="B17850" i="1"/>
  <c r="B9398" i="1"/>
  <c r="B16783" i="1"/>
  <c r="B16910" i="1"/>
  <c r="B14892" i="1"/>
  <c r="B8304" i="1"/>
  <c r="B9585" i="1"/>
  <c r="B16685" i="1"/>
  <c r="B15147" i="1"/>
  <c r="B533" i="1"/>
  <c r="B15318" i="1"/>
  <c r="B15990" i="1"/>
  <c r="B15181" i="1"/>
  <c r="B16924" i="1"/>
  <c r="B16730" i="1"/>
  <c r="B16967" i="1"/>
  <c r="B5733" i="1"/>
  <c r="B2665" i="1"/>
  <c r="B10165" i="1"/>
  <c r="B267" i="1"/>
  <c r="B7322" i="1"/>
  <c r="B9718" i="1"/>
  <c r="B7180" i="1"/>
  <c r="B2876" i="1"/>
  <c r="B8682" i="1"/>
  <c r="B6502" i="1"/>
  <c r="B16495" i="1"/>
  <c r="B8651" i="1"/>
  <c r="B867" i="1"/>
  <c r="B10053" i="1"/>
  <c r="B14481" i="1"/>
  <c r="B16763" i="1"/>
  <c r="B6178" i="1"/>
  <c r="B8962" i="1"/>
  <c r="B17233" i="1"/>
  <c r="B9458" i="1"/>
  <c r="B1488" i="1"/>
  <c r="B7940" i="1"/>
  <c r="B17340" i="1"/>
  <c r="B17019" i="1"/>
  <c r="B1204" i="1"/>
  <c r="B15618" i="1"/>
  <c r="B15884" i="1"/>
  <c r="B1080" i="1"/>
  <c r="B13807" i="1"/>
  <c r="B8473" i="1"/>
  <c r="B5849" i="1"/>
  <c r="B11093" i="1"/>
  <c r="B8795" i="1"/>
  <c r="B17316" i="1"/>
  <c r="B16699" i="1"/>
  <c r="B8318" i="1"/>
  <c r="B6440" i="1"/>
  <c r="B9960" i="1"/>
  <c r="B8733" i="1"/>
  <c r="B16039" i="1"/>
  <c r="B935" i="1"/>
  <c r="B17731" i="1"/>
  <c r="B8054" i="1"/>
  <c r="B14998" i="1"/>
  <c r="B677" i="1"/>
  <c r="B14108" i="1"/>
  <c r="B7950" i="1"/>
  <c r="B366" i="1"/>
  <c r="B92" i="1"/>
  <c r="B17875" i="1"/>
  <c r="B16808" i="1"/>
  <c r="B9613" i="1"/>
  <c r="B516" i="1"/>
  <c r="B16707" i="1"/>
  <c r="B9817" i="1"/>
  <c r="B219" i="1"/>
  <c r="B9776" i="1"/>
  <c r="B16671" i="1"/>
  <c r="B15298" i="1"/>
  <c r="B14924" i="1"/>
  <c r="B9691" i="1"/>
  <c r="B16955" i="1"/>
  <c r="B10162" i="1"/>
  <c r="B6504" i="1"/>
  <c r="B17574" i="1"/>
  <c r="B3920" i="1"/>
  <c r="B8885" i="1"/>
  <c r="B16982" i="1"/>
  <c r="B9744" i="1"/>
  <c r="B9660" i="1"/>
  <c r="B14992" i="1"/>
  <c r="B16737" i="1"/>
  <c r="B8805" i="1"/>
  <c r="B7938" i="1"/>
  <c r="B8777" i="1"/>
  <c r="B8834" i="1"/>
  <c r="B17775" i="1"/>
  <c r="B15693" i="1"/>
  <c r="B9322" i="1"/>
  <c r="B5503" i="1"/>
  <c r="B5506" i="1"/>
  <c r="B10129" i="1"/>
  <c r="B14583" i="1"/>
  <c r="B997" i="1"/>
  <c r="B766" i="1"/>
  <c r="B11034" i="1"/>
  <c r="B9639" i="1"/>
  <c r="B8723" i="1"/>
  <c r="B17831" i="1"/>
  <c r="B15113" i="1"/>
  <c r="B8660" i="1"/>
  <c r="B14822" i="1"/>
  <c r="B16032" i="1"/>
  <c r="B9186" i="1"/>
  <c r="B11031" i="1"/>
  <c r="B15417" i="1"/>
  <c r="B6289" i="1"/>
  <c r="B46" i="1"/>
  <c r="B1510" i="1"/>
  <c r="B15327" i="1"/>
  <c r="B9948" i="1"/>
  <c r="B16723" i="1"/>
  <c r="B6248" i="1"/>
  <c r="B17452" i="1"/>
  <c r="B2674" i="1"/>
  <c r="B17614" i="1"/>
  <c r="B17816" i="1"/>
  <c r="B16404" i="1"/>
  <c r="B1260" i="1"/>
  <c r="B17504" i="1"/>
  <c r="B16047" i="1"/>
  <c r="B230" i="1"/>
  <c r="B16595" i="1"/>
  <c r="B13934" i="1"/>
  <c r="B17201" i="1"/>
  <c r="B3106" i="1"/>
  <c r="B10940" i="1"/>
  <c r="B17524" i="1"/>
  <c r="B16429" i="1"/>
  <c r="B14710" i="1"/>
  <c r="B17800" i="1"/>
  <c r="B9064" i="1"/>
  <c r="B14323" i="1"/>
  <c r="B9083" i="1"/>
  <c r="B16400" i="1"/>
  <c r="B8966" i="1"/>
  <c r="B14142" i="1"/>
  <c r="B5910" i="1"/>
  <c r="B5901" i="1"/>
  <c r="B7955" i="1"/>
  <c r="B8092" i="1"/>
  <c r="B2809" i="1"/>
  <c r="B16878" i="1"/>
  <c r="B920" i="1"/>
  <c r="B1469" i="1"/>
  <c r="B2467" i="1"/>
  <c r="B2430" i="1"/>
  <c r="B15438" i="1"/>
  <c r="B6159" i="1"/>
  <c r="B16584" i="1"/>
  <c r="B8696" i="1"/>
  <c r="B8117" i="1"/>
  <c r="B1927" i="1"/>
  <c r="B9383" i="1"/>
  <c r="B3100" i="1"/>
  <c r="B9837" i="1"/>
  <c r="B17245" i="1"/>
  <c r="B14359" i="1"/>
  <c r="B17626" i="1"/>
  <c r="B6115" i="1"/>
  <c r="B9173" i="1"/>
  <c r="B10104" i="1"/>
  <c r="B17133" i="1"/>
  <c r="B17541" i="1"/>
  <c r="B9934" i="1"/>
  <c r="B195" i="1"/>
  <c r="B9697" i="1"/>
  <c r="B8145" i="1"/>
  <c r="B17088" i="1"/>
  <c r="B8208" i="1"/>
  <c r="B17595" i="1"/>
  <c r="B353" i="1"/>
  <c r="B9984" i="1"/>
  <c r="B8489" i="1"/>
  <c r="B1520" i="1"/>
  <c r="B16856" i="1"/>
  <c r="B8365" i="1"/>
  <c r="B934" i="1"/>
  <c r="B16122" i="1"/>
  <c r="B16850" i="1"/>
  <c r="B17440" i="1"/>
  <c r="B5822" i="1"/>
  <c r="B14852" i="1"/>
  <c r="B913" i="1"/>
  <c r="B16574" i="1"/>
  <c r="B9271" i="1"/>
  <c r="B17414" i="1"/>
  <c r="B10388" i="1"/>
  <c r="B7505" i="1"/>
  <c r="B7302" i="1"/>
  <c r="B16744" i="1"/>
  <c r="B15535" i="1"/>
  <c r="B16333" i="1"/>
  <c r="B10831" i="1"/>
  <c r="B16384" i="1"/>
  <c r="B16779" i="1"/>
  <c r="B15540" i="1"/>
  <c r="B16618" i="1"/>
  <c r="B14409" i="1"/>
  <c r="B14802" i="1"/>
  <c r="B17603" i="1"/>
  <c r="B17259" i="1"/>
  <c r="B956" i="1"/>
  <c r="B17434" i="1"/>
  <c r="B6086" i="1"/>
  <c r="B17437" i="1"/>
  <c r="B16146" i="1"/>
  <c r="B16817" i="1"/>
  <c r="B17427" i="1"/>
  <c r="B8786" i="1"/>
  <c r="B14643" i="1"/>
  <c r="B17026" i="1"/>
  <c r="B15690" i="1"/>
  <c r="B10013" i="1"/>
  <c r="B17278" i="1"/>
  <c r="B9381" i="1"/>
  <c r="B17322" i="1"/>
  <c r="B16479" i="1"/>
  <c r="B8122" i="1"/>
  <c r="B16234" i="1"/>
  <c r="B17592" i="1"/>
  <c r="B16180" i="1"/>
  <c r="B6157" i="1"/>
  <c r="B15657" i="1"/>
  <c r="B14804" i="1"/>
  <c r="B15831" i="1"/>
  <c r="B6364" i="1"/>
  <c r="B9824" i="1"/>
  <c r="B6405" i="1"/>
  <c r="B16494" i="1"/>
  <c r="B17655" i="1"/>
  <c r="B811" i="1"/>
  <c r="B15776" i="1"/>
  <c r="B1234" i="1"/>
  <c r="B7286" i="1"/>
  <c r="B17827" i="1"/>
  <c r="B17192" i="1"/>
  <c r="B15810" i="1"/>
  <c r="B15277" i="1"/>
  <c r="B16830" i="1"/>
  <c r="B9008" i="1"/>
  <c r="B17141" i="1"/>
  <c r="B15541" i="1"/>
  <c r="B1404" i="1"/>
  <c r="B15219" i="1"/>
  <c r="B17706" i="1"/>
  <c r="B9412" i="1"/>
  <c r="B3629" i="1"/>
  <c r="B16575" i="1"/>
  <c r="B6048" i="1"/>
  <c r="B6025" i="1"/>
  <c r="B15727" i="1"/>
  <c r="B1295" i="1"/>
  <c r="B7958" i="1"/>
  <c r="B17745" i="1"/>
  <c r="B9629" i="1"/>
  <c r="B9562" i="1"/>
  <c r="B10987" i="1"/>
  <c r="B14237" i="1"/>
  <c r="B13953" i="1"/>
  <c r="B7677" i="1"/>
  <c r="B6182" i="1"/>
  <c r="B490" i="1"/>
  <c r="B2375" i="1"/>
  <c r="B16606" i="1"/>
  <c r="B14863" i="1"/>
  <c r="B1100" i="1"/>
  <c r="B17675" i="1"/>
  <c r="B17558" i="1"/>
  <c r="B15382" i="1"/>
  <c r="B1357" i="1"/>
  <c r="B16649" i="1"/>
  <c r="B13936" i="1"/>
  <c r="B8863" i="1"/>
  <c r="B241" i="1"/>
  <c r="B5998" i="1"/>
  <c r="B1072" i="1"/>
  <c r="B9657" i="1"/>
  <c r="B16826" i="1"/>
  <c r="B17527" i="1"/>
  <c r="B473" i="1"/>
  <c r="B15729" i="1"/>
  <c r="B498" i="1"/>
  <c r="B4603" i="1"/>
  <c r="B9548" i="1"/>
  <c r="B15754" i="1"/>
  <c r="B9855" i="1"/>
  <c r="B15755" i="1"/>
  <c r="B8019" i="1"/>
  <c r="B9211" i="1"/>
  <c r="B9206" i="1"/>
  <c r="B14619" i="1"/>
  <c r="B17358" i="1"/>
  <c r="B16425" i="1"/>
  <c r="B13930" i="1"/>
  <c r="B14926" i="1"/>
  <c r="B16875" i="1"/>
  <c r="B9099" i="1"/>
  <c r="B6171" i="1"/>
  <c r="B15539" i="1"/>
  <c r="B8305" i="1"/>
  <c r="B17732" i="1"/>
  <c r="B1002" i="1"/>
  <c r="B1210" i="1"/>
  <c r="B17183" i="1"/>
  <c r="B16683" i="1"/>
  <c r="B10979" i="1"/>
  <c r="B1373" i="1"/>
  <c r="B9619" i="1"/>
  <c r="B17334" i="1"/>
  <c r="B16973" i="1"/>
  <c r="B17390" i="1"/>
  <c r="B1148" i="1"/>
  <c r="B8705" i="1"/>
  <c r="B7900" i="1"/>
  <c r="B9503" i="1"/>
  <c r="B17817" i="1"/>
  <c r="B15888" i="1"/>
  <c r="B17619" i="1"/>
  <c r="B15048" i="1"/>
  <c r="B18003" i="1"/>
  <c r="B10082" i="1"/>
  <c r="B9080" i="1"/>
  <c r="B7252" i="1"/>
  <c r="B339" i="1"/>
  <c r="B16488" i="1"/>
  <c r="B9362" i="1"/>
  <c r="B9492" i="1"/>
  <c r="B17271" i="1"/>
  <c r="B2499" i="1"/>
  <c r="B5686" i="1"/>
  <c r="B17849" i="1"/>
  <c r="B10033" i="1"/>
  <c r="B16074" i="1"/>
  <c r="B1096" i="1"/>
  <c r="B14413" i="1"/>
  <c r="B14968" i="1"/>
  <c r="B17061" i="1"/>
  <c r="B17120" i="1"/>
  <c r="B9431" i="1"/>
  <c r="B662" i="1"/>
  <c r="B6335" i="1"/>
  <c r="B17633" i="1"/>
  <c r="B8498" i="1"/>
  <c r="B8078" i="1"/>
  <c r="B15256" i="1"/>
  <c r="B10100" i="1"/>
  <c r="B8450" i="1"/>
  <c r="B10959" i="1"/>
  <c r="B17513" i="1"/>
  <c r="B8578" i="1"/>
  <c r="B17657" i="1"/>
  <c r="B2228" i="1"/>
  <c r="B16543" i="1"/>
  <c r="B15548" i="1"/>
  <c r="B10511" i="1"/>
  <c r="B15531" i="1"/>
  <c r="B9409" i="1"/>
  <c r="B382" i="1"/>
  <c r="B8286" i="1"/>
  <c r="B2439" i="1"/>
  <c r="B9147" i="1"/>
  <c r="B9085" i="1"/>
  <c r="B14194" i="1"/>
  <c r="B653" i="1"/>
  <c r="B15188" i="1"/>
  <c r="B8463" i="1"/>
  <c r="B14167" i="1"/>
  <c r="B5942" i="1"/>
  <c r="B14228" i="1"/>
  <c r="B8640" i="1"/>
  <c r="B9023" i="1"/>
  <c r="B17310" i="1"/>
  <c r="B13913" i="1"/>
  <c r="B17031" i="1"/>
  <c r="B17869" i="1"/>
  <c r="B15760" i="1"/>
  <c r="B6026" i="1"/>
  <c r="B8414" i="1"/>
  <c r="B13982" i="1"/>
  <c r="B7362" i="1"/>
  <c r="B6409" i="1"/>
  <c r="B15515" i="1"/>
  <c r="B17653" i="1"/>
  <c r="B8937" i="1"/>
  <c r="B16650" i="1"/>
  <c r="B7020" i="1"/>
  <c r="B15279" i="1"/>
  <c r="B9434" i="1"/>
  <c r="B7186" i="1"/>
  <c r="B8503" i="1"/>
  <c r="B17741" i="1"/>
  <c r="B16027" i="1"/>
  <c r="B16896" i="1"/>
  <c r="B6199" i="1"/>
  <c r="B15185" i="1"/>
  <c r="B6197" i="1"/>
  <c r="B17350" i="1"/>
  <c r="B16768" i="1"/>
  <c r="B9812" i="1"/>
  <c r="B17678" i="1"/>
  <c r="B17538" i="1"/>
  <c r="B1809" i="1"/>
  <c r="B6093" i="1"/>
  <c r="B16708" i="1"/>
  <c r="B9442" i="1"/>
  <c r="B15054" i="1"/>
  <c r="B3185" i="1"/>
  <c r="B16770" i="1"/>
  <c r="B15482" i="1"/>
  <c r="B9102" i="1"/>
  <c r="B17291" i="1"/>
  <c r="B9975" i="1"/>
  <c r="B16065" i="1"/>
  <c r="B1460" i="1"/>
  <c r="B16082" i="1"/>
  <c r="B8577" i="1"/>
  <c r="B9219" i="1"/>
  <c r="B17048" i="1"/>
  <c r="B8423" i="1"/>
  <c r="B8198" i="1"/>
  <c r="B5872" i="1"/>
  <c r="B6988" i="1"/>
  <c r="B16167" i="1"/>
  <c r="B10125" i="1"/>
  <c r="B6525" i="1"/>
  <c r="B6498" i="1"/>
  <c r="B9696" i="1"/>
  <c r="B14703" i="1"/>
  <c r="B8424" i="1"/>
  <c r="B8462" i="1"/>
  <c r="B2907" i="1"/>
  <c r="B15799" i="1"/>
  <c r="B17419" i="1"/>
  <c r="B1036" i="1"/>
  <c r="B15615" i="1"/>
  <c r="B16603" i="1"/>
  <c r="B3036" i="1"/>
  <c r="B15700" i="1"/>
  <c r="B9031" i="1"/>
  <c r="B16262" i="1"/>
  <c r="B16941" i="1"/>
  <c r="B17425" i="1"/>
  <c r="B17389" i="1"/>
  <c r="B5348" i="1"/>
  <c r="B6499" i="1"/>
  <c r="B6132" i="1"/>
  <c r="B10048" i="1"/>
  <c r="B3256" i="1"/>
  <c r="B17037" i="1"/>
  <c r="B9280" i="1"/>
  <c r="B9723" i="1"/>
  <c r="B9473" i="1"/>
  <c r="B15365" i="1"/>
  <c r="B7140" i="1"/>
  <c r="B17266" i="1"/>
  <c r="B5979" i="1"/>
  <c r="B9842" i="1"/>
  <c r="B15304" i="1"/>
  <c r="B6066" i="1"/>
  <c r="B16030" i="1"/>
  <c r="B14174" i="1"/>
  <c r="B17153" i="1"/>
  <c r="B16444" i="1"/>
  <c r="B16107" i="1"/>
  <c r="B16688" i="1"/>
  <c r="B8557" i="1"/>
  <c r="B16969" i="1"/>
  <c r="B45" i="1"/>
  <c r="B6392" i="1"/>
  <c r="B5939" i="1"/>
  <c r="B17224" i="1"/>
  <c r="B9922" i="1"/>
  <c r="B16715" i="1"/>
  <c r="B16710" i="1"/>
  <c r="B16421" i="1"/>
  <c r="B15029" i="1"/>
  <c r="B8894" i="1"/>
  <c r="B13950" i="1"/>
  <c r="B9761" i="1"/>
  <c r="B16781" i="1"/>
  <c r="B7636" i="1"/>
  <c r="B15803" i="1"/>
  <c r="B17137" i="1"/>
  <c r="B15814" i="1"/>
  <c r="B17036" i="1"/>
  <c r="B5674" i="1"/>
  <c r="B17544" i="1"/>
  <c r="B17515" i="1"/>
  <c r="B8732" i="1"/>
  <c r="B6341" i="1"/>
  <c r="B489" i="1"/>
  <c r="B6053" i="1"/>
  <c r="B17000" i="1"/>
  <c r="B15542" i="1"/>
  <c r="B17034" i="1"/>
  <c r="B16892" i="1"/>
  <c r="B8641" i="1"/>
  <c r="B17113" i="1"/>
  <c r="B16848" i="1"/>
  <c r="B7966" i="1"/>
  <c r="B17563" i="1"/>
  <c r="B8833" i="1"/>
  <c r="B887" i="1"/>
  <c r="B16465" i="1"/>
  <c r="B1028" i="1"/>
  <c r="B6272" i="1"/>
  <c r="B17462" i="1"/>
  <c r="B16463" i="1"/>
  <c r="B17871" i="1"/>
  <c r="B17830" i="1"/>
  <c r="B8765" i="1"/>
  <c r="B10097" i="1"/>
  <c r="B17662" i="1"/>
  <c r="B17475" i="1"/>
  <c r="B651" i="1"/>
  <c r="B16508" i="1"/>
  <c r="B15770" i="1"/>
  <c r="B788" i="1"/>
  <c r="B9583" i="1"/>
  <c r="B14243" i="1"/>
  <c r="B6091" i="1"/>
  <c r="B10172" i="1"/>
  <c r="B15971" i="1"/>
  <c r="B14833" i="1"/>
  <c r="B17697" i="1"/>
  <c r="B8691" i="1"/>
  <c r="B10760" i="1"/>
  <c r="B8306" i="1"/>
  <c r="B17102" i="1"/>
  <c r="B9830" i="1"/>
  <c r="B951" i="1"/>
  <c r="B16026" i="1"/>
  <c r="B9809" i="1"/>
  <c r="B16336" i="1"/>
  <c r="B16619" i="1"/>
  <c r="B7315" i="1"/>
  <c r="B774" i="1"/>
  <c r="B17722" i="1"/>
  <c r="B9770" i="1"/>
  <c r="B5550" i="1"/>
  <c r="B7189" i="1"/>
  <c r="B16751" i="1"/>
  <c r="B9501" i="1"/>
  <c r="B17436" i="1"/>
  <c r="B9603" i="1"/>
  <c r="B16988" i="1"/>
  <c r="B9336" i="1"/>
  <c r="B9701" i="1"/>
  <c r="B8438" i="1"/>
  <c r="B4188" i="1"/>
  <c r="B6055" i="1"/>
  <c r="B16657" i="1"/>
  <c r="B17317" i="1"/>
  <c r="B14178" i="1"/>
  <c r="B16414" i="1"/>
  <c r="B16986" i="1"/>
  <c r="B5867" i="1"/>
  <c r="B9247" i="1"/>
  <c r="B5791" i="1"/>
  <c r="B9868" i="1"/>
  <c r="B15741" i="1"/>
  <c r="B17725" i="1"/>
  <c r="B1244" i="1"/>
  <c r="B6118" i="1"/>
  <c r="B2304" i="1"/>
  <c r="B17750" i="1"/>
  <c r="B6421" i="1"/>
  <c r="B9066" i="1"/>
  <c r="B15251" i="1"/>
  <c r="B16275" i="1"/>
  <c r="B9620" i="1"/>
  <c r="B9281" i="1"/>
  <c r="B9835" i="1"/>
  <c r="B1098" i="1"/>
  <c r="B8571" i="1"/>
  <c r="B17693" i="1"/>
  <c r="B5501" i="1"/>
  <c r="B15855" i="1"/>
  <c r="B15635" i="1"/>
  <c r="B16750" i="1"/>
  <c r="B17043" i="1"/>
  <c r="B9607" i="1"/>
  <c r="B17472" i="1"/>
  <c r="B16637" i="1"/>
  <c r="B15285" i="1"/>
  <c r="B16351" i="1"/>
  <c r="B16933" i="1"/>
  <c r="B8693" i="1"/>
  <c r="B15487" i="1"/>
  <c r="B14605" i="1"/>
  <c r="B137" i="1"/>
  <c r="B15126" i="1"/>
  <c r="B14251" i="1"/>
  <c r="B14417" i="1"/>
  <c r="B8702" i="1"/>
  <c r="B14005" i="1"/>
  <c r="B9496" i="1"/>
  <c r="B176" i="1"/>
  <c r="B16627" i="1"/>
  <c r="B16052" i="1"/>
  <c r="B17813" i="1"/>
  <c r="B9581" i="1"/>
  <c r="B14392" i="1"/>
  <c r="B6623" i="1"/>
  <c r="B10020" i="1"/>
  <c r="B9507" i="1"/>
  <c r="B10135" i="1"/>
  <c r="B10155" i="1"/>
  <c r="B9831" i="1"/>
  <c r="B7194" i="1"/>
  <c r="B17411" i="1"/>
  <c r="B17952" i="1"/>
  <c r="B9035" i="1"/>
  <c r="B321" i="1"/>
  <c r="B9940" i="1"/>
  <c r="B4405" i="1"/>
  <c r="B16341" i="1"/>
  <c r="B455" i="1"/>
  <c r="B1355" i="1"/>
  <c r="B9524" i="1"/>
  <c r="B2243" i="1"/>
  <c r="B16623" i="1"/>
  <c r="B15699" i="1"/>
  <c r="B7016" i="1"/>
  <c r="B7013" i="1"/>
  <c r="B14795" i="1"/>
  <c r="B14928" i="1"/>
  <c r="B1131" i="1"/>
  <c r="B1029" i="1"/>
  <c r="B1297" i="1"/>
  <c r="B16468" i="1"/>
  <c r="B8773" i="1"/>
  <c r="B9242" i="1"/>
  <c r="B16863" i="1"/>
  <c r="B6129" i="1"/>
  <c r="B6145" i="1"/>
  <c r="B5905" i="1"/>
  <c r="B17288" i="1"/>
  <c r="B595" i="1"/>
  <c r="B8385" i="1"/>
  <c r="B15619" i="1"/>
  <c r="B791" i="1"/>
  <c r="B6148" i="1"/>
  <c r="B10047" i="1"/>
  <c r="B15167" i="1"/>
  <c r="B6167" i="1"/>
  <c r="B1420" i="1"/>
  <c r="B17474" i="1"/>
  <c r="B16000" i="1"/>
  <c r="B8384" i="1"/>
  <c r="B7299" i="1"/>
  <c r="B17809" i="1"/>
  <c r="B835" i="1"/>
  <c r="B14712" i="1"/>
  <c r="B17821" i="1"/>
  <c r="B14184" i="1"/>
  <c r="B15845" i="1"/>
  <c r="B17760" i="1"/>
  <c r="B9910" i="1"/>
  <c r="B6244" i="1"/>
  <c r="B17216" i="1"/>
  <c r="B6435" i="1"/>
  <c r="B14037" i="1"/>
  <c r="B6604" i="1"/>
  <c r="B14429" i="1"/>
  <c r="B806" i="1"/>
  <c r="B10161" i="1"/>
  <c r="B14615" i="1"/>
  <c r="B15069" i="1"/>
  <c r="B8934" i="1"/>
  <c r="B15246" i="1"/>
  <c r="B16408" i="1"/>
  <c r="B14151" i="1"/>
  <c r="B1064" i="1"/>
  <c r="B1511" i="1"/>
  <c r="B15528" i="1"/>
  <c r="B6282" i="1"/>
  <c r="B16736" i="1"/>
  <c r="B5374" i="1"/>
  <c r="B15564" i="1"/>
  <c r="B8694" i="1"/>
  <c r="B883" i="1"/>
  <c r="B8032" i="1"/>
  <c r="B16741" i="1"/>
  <c r="B14189" i="1"/>
  <c r="B2395" i="1"/>
  <c r="B16686" i="1"/>
  <c r="B6180" i="1"/>
  <c r="B8468" i="1"/>
  <c r="B13857" i="1"/>
  <c r="B7034" i="1"/>
  <c r="B14186" i="1"/>
  <c r="B17625" i="1"/>
  <c r="B16592" i="1"/>
  <c r="B2452" i="1"/>
  <c r="B2462" i="1"/>
  <c r="B17823" i="1"/>
  <c r="B565" i="1"/>
  <c r="B315" i="1"/>
  <c r="B14214" i="1"/>
  <c r="B1704" i="1"/>
  <c r="B14912" i="1"/>
  <c r="B2392" i="1"/>
  <c r="B1208" i="1"/>
  <c r="B5562" i="1"/>
  <c r="B9728" i="1"/>
  <c r="B15902" i="1"/>
  <c r="B292" i="1"/>
  <c r="B14495" i="1"/>
  <c r="B10153" i="1"/>
  <c r="B650" i="1"/>
  <c r="B2391" i="1"/>
  <c r="B15607" i="1"/>
  <c r="B15154" i="1"/>
  <c r="B15376" i="1"/>
  <c r="B17327" i="1"/>
  <c r="B16926" i="1"/>
  <c r="B6078" i="1"/>
  <c r="B15442" i="1"/>
  <c r="B13943" i="1"/>
  <c r="B4858" i="1"/>
  <c r="B1193" i="1"/>
  <c r="B10039" i="1"/>
  <c r="B16314" i="1"/>
  <c r="B14274" i="1"/>
  <c r="B1129" i="1"/>
  <c r="B17297" i="1"/>
  <c r="B14175" i="1"/>
  <c r="B16486" i="1"/>
  <c r="B16110" i="1"/>
  <c r="B16085" i="1"/>
  <c r="B17163" i="1"/>
  <c r="B1340" i="1"/>
  <c r="B432" i="1"/>
  <c r="B16965" i="1"/>
  <c r="B7029" i="1"/>
  <c r="B7566" i="1"/>
  <c r="B7570" i="1"/>
  <c r="B7870" i="1"/>
  <c r="B8512" i="1"/>
  <c r="B14474" i="1"/>
  <c r="B15632" i="1"/>
  <c r="B5992" i="1"/>
  <c r="B6434" i="1"/>
  <c r="B14837" i="1"/>
  <c r="B14407" i="1"/>
  <c r="B191" i="1"/>
  <c r="B13837" i="1"/>
  <c r="B17673" i="1"/>
  <c r="B6276" i="1"/>
  <c r="B17235" i="1"/>
  <c r="B16560" i="1"/>
  <c r="B5865" i="1"/>
  <c r="B6318" i="1"/>
  <c r="B17336" i="1"/>
  <c r="B17468" i="1"/>
  <c r="B577" i="1"/>
  <c r="B9736" i="1"/>
  <c r="B979" i="1"/>
  <c r="B1423" i="1"/>
  <c r="B17551" i="1"/>
  <c r="B15639" i="1"/>
  <c r="B4831" i="1"/>
  <c r="B7131" i="1"/>
  <c r="B9885" i="1"/>
  <c r="B15926" i="1"/>
  <c r="B16901" i="1"/>
  <c r="B15653" i="1"/>
  <c r="B17841" i="1"/>
  <c r="B196" i="1"/>
  <c r="B17313" i="1"/>
  <c r="B17367" i="1"/>
  <c r="B15857" i="1"/>
  <c r="B15430" i="1"/>
  <c r="B14798" i="1"/>
  <c r="B16643" i="1"/>
  <c r="B8522" i="1"/>
  <c r="B16793" i="1"/>
  <c r="B6366" i="1"/>
  <c r="B825" i="1"/>
  <c r="B7907" i="1"/>
  <c r="B15824" i="1"/>
  <c r="B16545" i="1"/>
  <c r="B9332" i="1"/>
  <c r="B211" i="1"/>
  <c r="B6218" i="1"/>
  <c r="B6058" i="1"/>
  <c r="B16629" i="1"/>
  <c r="B14221" i="1"/>
  <c r="B16868" i="1"/>
  <c r="B26" i="1"/>
  <c r="B16389" i="1"/>
  <c r="B9087" i="1"/>
  <c r="B15244" i="1"/>
  <c r="B6311" i="1"/>
  <c r="B14669" i="1"/>
  <c r="B9962" i="1"/>
  <c r="B9627" i="1"/>
  <c r="B14157" i="1"/>
  <c r="B17484" i="1"/>
  <c r="B14953" i="1"/>
  <c r="B13782" i="1"/>
  <c r="B16220" i="1"/>
  <c r="B9651" i="1"/>
  <c r="B17209" i="1"/>
  <c r="B16245" i="1"/>
  <c r="B8785" i="1"/>
  <c r="B16456" i="1"/>
  <c r="B9479" i="1"/>
  <c r="B16453" i="1"/>
  <c r="B9063" i="1"/>
  <c r="B8110" i="1"/>
  <c r="B7889" i="1"/>
  <c r="B7789" i="1"/>
  <c r="B5581" i="1"/>
  <c r="B9257" i="1"/>
  <c r="B8920" i="1"/>
  <c r="B16679" i="1"/>
  <c r="B277" i="1"/>
  <c r="B5642" i="1"/>
  <c r="B16791" i="1"/>
  <c r="B16455" i="1"/>
  <c r="B17585" i="1"/>
  <c r="B9438" i="1"/>
  <c r="B6586" i="1"/>
  <c r="B14283" i="1"/>
  <c r="B15156" i="1"/>
  <c r="B9983" i="1"/>
  <c r="B17289" i="1"/>
  <c r="B8269" i="1"/>
  <c r="B17461" i="1"/>
  <c r="B17716" i="1"/>
  <c r="B6005" i="1"/>
  <c r="B8250" i="1"/>
  <c r="B179" i="1"/>
  <c r="B9794" i="1"/>
  <c r="B1793" i="1"/>
  <c r="B17303" i="1"/>
  <c r="B14036" i="1"/>
  <c r="B9418" i="1"/>
  <c r="B1249" i="1"/>
  <c r="B16158" i="1"/>
  <c r="B5424" i="1"/>
  <c r="B1136" i="1"/>
  <c r="B14963" i="1"/>
  <c r="B14177" i="1"/>
  <c r="B16705" i="1"/>
  <c r="B157" i="1"/>
  <c r="B17089" i="1"/>
  <c r="B15801" i="1"/>
  <c r="B14120" i="1"/>
  <c r="B8948" i="1"/>
  <c r="B980" i="1"/>
  <c r="B16535" i="1"/>
  <c r="B2422" i="1"/>
  <c r="B7806" i="1"/>
  <c r="B7906" i="1"/>
  <c r="B17320" i="1"/>
  <c r="B10132" i="1"/>
  <c r="B3658" i="1"/>
  <c r="B1507" i="1"/>
  <c r="B13966" i="1"/>
  <c r="B9116" i="1"/>
  <c r="B16836" i="1"/>
  <c r="B541" i="1"/>
  <c r="B14984" i="1"/>
  <c r="B14899" i="1"/>
  <c r="B1343" i="1"/>
  <c r="B14211" i="1"/>
  <c r="B9865" i="1"/>
  <c r="B7188" i="1"/>
  <c r="B1893" i="1"/>
  <c r="B9579" i="1"/>
  <c r="B16801" i="1"/>
  <c r="B17598" i="1"/>
  <c r="B9370" i="1"/>
  <c r="B17509" i="1"/>
  <c r="B16532" i="1"/>
  <c r="B17759" i="1"/>
  <c r="B16605" i="1"/>
  <c r="B7839" i="1"/>
  <c r="B6486" i="1"/>
  <c r="B14012" i="1"/>
  <c r="B6108" i="1"/>
  <c r="B16681" i="1"/>
  <c r="B9840" i="1"/>
  <c r="B9182" i="1"/>
  <c r="B16772" i="1"/>
  <c r="B329" i="1"/>
  <c r="B8914" i="1"/>
  <c r="B220" i="1"/>
  <c r="B17023" i="1"/>
  <c r="B10815" i="1"/>
  <c r="B9799" i="1"/>
  <c r="B16378" i="1"/>
  <c r="B2436" i="1"/>
  <c r="B16789" i="1"/>
  <c r="B8003" i="1"/>
  <c r="B15746" i="1"/>
  <c r="B9633" i="1"/>
  <c r="B9941" i="1"/>
  <c r="B8006" i="1"/>
  <c r="B14278" i="1"/>
  <c r="B8893" i="1"/>
  <c r="B435" i="1"/>
  <c r="B659" i="1"/>
  <c r="B9580" i="1"/>
  <c r="B15204" i="1"/>
  <c r="B9359" i="1"/>
  <c r="B9700" i="1"/>
  <c r="B16971" i="1"/>
  <c r="B9649" i="1"/>
  <c r="B9356" i="1"/>
  <c r="B9769" i="1"/>
  <c r="B99" i="1"/>
  <c r="B16170" i="1"/>
  <c r="B9729" i="1"/>
  <c r="B8596" i="1"/>
  <c r="B8408" i="1"/>
  <c r="B8220" i="1"/>
  <c r="B17560" i="1"/>
  <c r="B15405" i="1"/>
  <c r="B15030" i="1"/>
  <c r="B16809" i="1"/>
  <c r="B9176" i="1"/>
  <c r="B9341" i="1"/>
  <c r="B16060" i="1"/>
  <c r="B7899" i="1"/>
  <c r="B15491" i="1"/>
  <c r="B7448" i="1"/>
  <c r="B9040" i="1"/>
  <c r="B14415" i="1"/>
  <c r="B17126" i="1"/>
  <c r="B16296" i="1"/>
  <c r="B13860" i="1"/>
  <c r="B14946" i="1"/>
  <c r="B8754" i="1"/>
  <c r="B4006" i="1"/>
  <c r="B9881" i="1"/>
  <c r="B5459" i="1"/>
  <c r="B9165" i="1"/>
  <c r="B8916" i="1"/>
  <c r="B17124" i="1"/>
  <c r="B15915" i="1"/>
  <c r="B17701" i="1"/>
  <c r="B10059" i="1"/>
  <c r="B17403" i="1"/>
  <c r="B9525" i="1"/>
  <c r="B8814" i="1"/>
  <c r="B17580" i="1"/>
  <c r="B9561" i="1"/>
  <c r="B9016" i="1"/>
  <c r="B8990" i="1"/>
  <c r="B8531" i="1"/>
  <c r="B16511" i="1"/>
  <c r="B8865" i="1"/>
  <c r="B8718" i="1"/>
  <c r="B7023" i="1"/>
  <c r="B8444" i="1"/>
  <c r="B7435" i="1"/>
  <c r="B17590" i="1"/>
  <c r="B10933" i="1"/>
  <c r="B9730" i="1"/>
  <c r="B6088" i="1"/>
  <c r="B1269" i="1"/>
  <c r="B16656" i="1"/>
  <c r="B10922" i="1"/>
  <c r="B15401" i="1"/>
  <c r="B16348" i="1"/>
  <c r="B16518" i="1"/>
  <c r="B9057" i="1"/>
  <c r="B17503" i="1"/>
  <c r="B9542" i="1"/>
  <c r="B15590" i="1"/>
  <c r="B8764" i="1"/>
  <c r="B15228" i="1"/>
  <c r="B6165" i="1"/>
  <c r="B77" i="1"/>
  <c r="B10751" i="1"/>
  <c r="B16852" i="1"/>
  <c r="B16011" i="1"/>
  <c r="B8197" i="1"/>
  <c r="B9665" i="1"/>
  <c r="B15598" i="1"/>
  <c r="B10942" i="1"/>
  <c r="B15305" i="1"/>
  <c r="B14529" i="1"/>
  <c r="B5984" i="1"/>
  <c r="B13784" i="1"/>
  <c r="B9159" i="1"/>
  <c r="B9932" i="1"/>
  <c r="B9068" i="1"/>
  <c r="B14022" i="1"/>
  <c r="B17005" i="1"/>
  <c r="B7285" i="1"/>
  <c r="B7563" i="1"/>
  <c r="B8139" i="1"/>
  <c r="B586" i="1"/>
  <c r="B7452" i="1"/>
  <c r="B7547" i="1"/>
  <c r="B15792" i="1"/>
  <c r="B9133" i="1"/>
  <c r="B15261" i="1"/>
  <c r="B1336" i="1"/>
  <c r="B15893" i="1"/>
  <c r="B16591" i="1"/>
  <c r="B16542" i="1"/>
  <c r="B10019" i="1"/>
  <c r="B17882" i="1"/>
  <c r="B9127" i="1"/>
  <c r="B10826" i="1"/>
  <c r="B1189" i="1"/>
  <c r="B14697" i="1"/>
  <c r="B17422" i="1"/>
  <c r="B9915" i="1"/>
  <c r="B6473" i="1"/>
  <c r="B7814" i="1"/>
  <c r="B4723" i="1"/>
  <c r="B17063" i="1"/>
  <c r="B10373" i="1"/>
  <c r="B9648" i="1"/>
  <c r="B109" i="1"/>
  <c r="B8964" i="1"/>
  <c r="B6412" i="1"/>
  <c r="B6315" i="1"/>
  <c r="B14979" i="1"/>
  <c r="B7511" i="1"/>
  <c r="B7526" i="1"/>
  <c r="B9917" i="1"/>
  <c r="B7463" i="1"/>
  <c r="B17566" i="1"/>
  <c r="B17689" i="1"/>
  <c r="B9804" i="1"/>
  <c r="B8594" i="1"/>
  <c r="B776" i="1"/>
  <c r="B17417" i="1"/>
  <c r="B10251" i="1"/>
  <c r="B9324" i="1"/>
  <c r="B9390" i="1"/>
  <c r="B16149" i="1"/>
  <c r="B17499" i="1"/>
  <c r="B17742" i="1"/>
  <c r="B15149" i="1"/>
  <c r="B16994" i="1"/>
  <c r="B6433" i="1"/>
  <c r="B413" i="1"/>
  <c r="B134" i="1"/>
  <c r="B16480" i="1"/>
  <c r="B1256" i="1"/>
  <c r="B8649" i="1"/>
  <c r="B7171" i="1"/>
  <c r="B32" i="1"/>
  <c r="B17447" i="1"/>
  <c r="B7017" i="1"/>
  <c r="B15018" i="1"/>
  <c r="B16991" i="1"/>
  <c r="B16786" i="1"/>
  <c r="B178" i="1"/>
  <c r="B17811" i="1"/>
  <c r="B17105" i="1"/>
  <c r="B5858" i="1"/>
  <c r="B8703" i="1"/>
  <c r="B233" i="1"/>
  <c r="B9986" i="1"/>
  <c r="B15191" i="1"/>
  <c r="B7026" i="1"/>
  <c r="B9439" i="1"/>
  <c r="B9677" i="1"/>
  <c r="B8478" i="1"/>
  <c r="B13896" i="1"/>
  <c r="B15736" i="1"/>
  <c r="B16204" i="1"/>
  <c r="B9577" i="1"/>
  <c r="B7759" i="1"/>
  <c r="B250" i="1"/>
  <c r="B15498" i="1"/>
  <c r="B17700" i="1"/>
  <c r="B15497" i="1"/>
  <c r="B13940" i="1"/>
  <c r="B17711" i="1"/>
  <c r="B16782" i="1"/>
  <c r="B16663" i="1"/>
  <c r="B6089" i="1"/>
  <c r="B6967" i="1"/>
  <c r="B8690" i="1"/>
  <c r="B15631" i="1"/>
  <c r="B15503" i="1"/>
  <c r="B15042" i="1"/>
  <c r="B9338" i="1"/>
  <c r="B1442" i="1"/>
  <c r="B17532" i="1"/>
  <c r="B15627" i="1"/>
  <c r="B9578" i="1"/>
  <c r="B14213" i="1"/>
  <c r="B672" i="1"/>
  <c r="B291" i="1"/>
  <c r="B16947" i="1"/>
  <c r="B8434" i="1"/>
  <c r="B15643" i="1"/>
  <c r="B17718" i="1"/>
  <c r="B7182" i="1"/>
  <c r="B15732" i="1"/>
  <c r="B16993" i="1"/>
  <c r="B15173" i="1"/>
  <c r="B15137" i="1"/>
  <c r="B13965" i="1"/>
  <c r="B7261" i="1"/>
  <c r="B15878" i="1"/>
  <c r="B15874" i="1"/>
  <c r="B5594" i="1"/>
  <c r="B426" i="1"/>
  <c r="B7872" i="1"/>
  <c r="B17029" i="1"/>
  <c r="B17661" i="1"/>
  <c r="B17518" i="1"/>
  <c r="B377" i="1"/>
  <c r="B15315" i="1"/>
  <c r="B168" i="1"/>
  <c r="B16654" i="1"/>
  <c r="B8471" i="1"/>
  <c r="B2789" i="1"/>
  <c r="B436" i="1"/>
  <c r="B16451" i="1"/>
  <c r="B14411" i="1"/>
  <c r="B14071" i="1"/>
  <c r="B15765" i="1"/>
  <c r="B9950" i="1"/>
  <c r="B14969" i="1"/>
  <c r="B7108" i="1"/>
  <c r="B5531" i="1"/>
  <c r="B17258" i="1"/>
  <c r="B6761" i="1"/>
  <c r="B16174" i="1"/>
  <c r="B7255" i="1"/>
  <c r="B8905" i="1"/>
  <c r="B15866" i="1"/>
  <c r="B8796" i="1"/>
  <c r="B9024" i="1"/>
  <c r="B615" i="1"/>
  <c r="B17294" i="1"/>
  <c r="B6646" i="1"/>
  <c r="B787" i="1"/>
  <c r="B16721" i="1"/>
  <c r="B15756" i="1"/>
  <c r="B5977" i="1"/>
  <c r="B15400" i="1"/>
  <c r="B16525" i="1"/>
  <c r="B8631" i="1"/>
  <c r="B10146" i="1"/>
  <c r="B6958" i="1"/>
  <c r="B10250" i="1"/>
  <c r="B16614" i="1"/>
  <c r="B17787" i="1"/>
  <c r="B6158" i="1"/>
  <c r="B9313" i="1"/>
  <c r="B16461" i="1"/>
  <c r="B17772" i="1"/>
  <c r="B17343" i="1"/>
  <c r="B552" i="1"/>
  <c r="B151" i="1"/>
  <c r="B16992" i="1"/>
  <c r="B9450" i="1"/>
  <c r="B8826" i="1"/>
  <c r="B17782" i="1"/>
  <c r="B15314" i="1"/>
  <c r="B15208" i="1"/>
  <c r="B6858" i="1"/>
  <c r="B17438" i="1"/>
  <c r="B17781" i="1"/>
  <c r="B16371" i="1"/>
  <c r="B16573" i="1"/>
  <c r="B9077" i="1"/>
  <c r="B17656" i="1"/>
  <c r="B15421" i="1"/>
  <c r="B10023" i="1"/>
  <c r="B5556" i="1"/>
  <c r="B5622" i="1"/>
  <c r="B10065" i="1"/>
  <c r="B9171" i="1"/>
  <c r="B2532" i="1"/>
  <c r="B16380" i="1"/>
  <c r="B16674" i="1"/>
  <c r="B15671" i="1"/>
  <c r="B16549" i="1"/>
  <c r="B7830" i="1"/>
  <c r="B16676" i="1"/>
  <c r="B16308" i="1"/>
  <c r="B9011" i="1"/>
  <c r="B14954" i="1"/>
  <c r="B6964" i="1"/>
  <c r="B317" i="1"/>
  <c r="B6422" i="1"/>
  <c r="B14230" i="1"/>
  <c r="B15908" i="1"/>
  <c r="B16272" i="1"/>
  <c r="B9735" i="1"/>
  <c r="B15720" i="1"/>
  <c r="B9404" i="1"/>
  <c r="B16492" i="1"/>
  <c r="B5626" i="1"/>
  <c r="B6400" i="1"/>
  <c r="B8991" i="1"/>
  <c r="B10038" i="1"/>
  <c r="B17517" i="1"/>
  <c r="B10194" i="1"/>
  <c r="B950" i="1"/>
  <c r="B16874" i="1"/>
  <c r="B14832" i="1"/>
  <c r="B15876" i="1"/>
  <c r="B9179" i="1"/>
  <c r="B790" i="1"/>
  <c r="B16562" i="1"/>
  <c r="B30" i="1"/>
  <c r="B10096" i="1"/>
  <c r="B15923" i="1"/>
  <c r="B17900" i="1"/>
  <c r="B525" i="1"/>
  <c r="B16394" i="1"/>
  <c r="B1308" i="1"/>
  <c r="B16298" i="1"/>
  <c r="B6113" i="1"/>
  <c r="B17561" i="1"/>
  <c r="B4808" i="1"/>
  <c r="B4895" i="1"/>
  <c r="B10075" i="1"/>
  <c r="B16083" i="1"/>
  <c r="B912" i="1"/>
  <c r="B3148" i="1"/>
  <c r="B9853" i="1"/>
  <c r="B2677" i="1"/>
  <c r="B9590" i="1"/>
  <c r="B9852" i="1"/>
  <c r="B16091" i="1"/>
  <c r="B6991" i="1"/>
  <c r="B5545" i="1"/>
  <c r="B682" i="1"/>
  <c r="B582" i="1"/>
  <c r="B17168" i="1"/>
  <c r="B16099" i="1"/>
  <c r="B9845" i="1"/>
  <c r="B7177" i="1"/>
  <c r="B16077" i="1"/>
  <c r="B15294" i="1"/>
  <c r="B15649" i="1"/>
  <c r="B14698" i="1"/>
  <c r="B16403" i="1"/>
  <c r="B16361" i="1"/>
  <c r="B16044" i="1"/>
  <c r="B3872" i="1"/>
  <c r="B16182" i="1"/>
  <c r="B93" i="1"/>
  <c r="B17469" i="1"/>
  <c r="B16226" i="1"/>
  <c r="B14176" i="1"/>
  <c r="B15913" i="1"/>
  <c r="B264" i="1"/>
  <c r="B307" i="1"/>
  <c r="B467" i="1"/>
  <c r="B9545" i="1"/>
  <c r="B17835" i="1"/>
  <c r="B16012" i="1"/>
  <c r="B15788" i="1"/>
  <c r="B16533" i="1"/>
  <c r="B154" i="1"/>
  <c r="B9636" i="1"/>
  <c r="B15706" i="1"/>
  <c r="B629" i="1"/>
  <c r="B639" i="1"/>
  <c r="B17018" i="1"/>
  <c r="B8620" i="1"/>
  <c r="B1523" i="1"/>
  <c r="B9272" i="1"/>
  <c r="B6194" i="1"/>
  <c r="B15016" i="1"/>
  <c r="B15630" i="1"/>
  <c r="B14118" i="1"/>
  <c r="B6369" i="1"/>
  <c r="B854" i="1"/>
  <c r="B17878" i="1"/>
  <c r="B1094" i="1"/>
  <c r="B6097" i="1"/>
  <c r="B827" i="1"/>
  <c r="B17682" i="1"/>
  <c r="B6397" i="1"/>
  <c r="B3261" i="1"/>
  <c r="B6284" i="1"/>
  <c r="B17335" i="1"/>
  <c r="B7330" i="1"/>
  <c r="B16269" i="1"/>
  <c r="B8776" i="1"/>
  <c r="B10016" i="1"/>
  <c r="B16729" i="1"/>
  <c r="B9666" i="1"/>
  <c r="B10184" i="1"/>
  <c r="B393" i="1"/>
  <c r="B1275" i="1"/>
  <c r="B15614" i="1"/>
  <c r="B7391" i="1"/>
  <c r="B7926" i="1"/>
  <c r="B7377" i="1"/>
  <c r="B16397" i="1"/>
  <c r="B15201" i="1"/>
  <c r="B6188" i="1"/>
  <c r="B6149" i="1"/>
  <c r="B10000" i="1"/>
  <c r="B16758" i="1"/>
  <c r="B15425" i="1"/>
  <c r="B16213" i="1"/>
  <c r="B15610" i="1"/>
  <c r="B16491" i="1"/>
  <c r="B8351" i="1"/>
  <c r="B200" i="1"/>
  <c r="B15579" i="1"/>
  <c r="B17355" i="1"/>
  <c r="B16307" i="1"/>
  <c r="B15818" i="1"/>
  <c r="B17279" i="1"/>
  <c r="B10036" i="1"/>
  <c r="B17093" i="1"/>
  <c r="B16290" i="1"/>
  <c r="B16745" i="1"/>
  <c r="B5715" i="1"/>
  <c r="B16454" i="1"/>
  <c r="B1049" i="1"/>
  <c r="B16050" i="1"/>
  <c r="B16019" i="1"/>
  <c r="B14181" i="1"/>
  <c r="B9707" i="1"/>
  <c r="B14690" i="1"/>
  <c r="B6098" i="1"/>
  <c r="B17261" i="1"/>
  <c r="B6111" i="1"/>
  <c r="B17399" i="1"/>
  <c r="B16413" i="1"/>
  <c r="B17220" i="1"/>
  <c r="B17833" i="1"/>
  <c r="B7113" i="1"/>
  <c r="B16694" i="1"/>
  <c r="B16884" i="1"/>
  <c r="B5870" i="1"/>
  <c r="B10126" i="1"/>
  <c r="B16728" i="1"/>
  <c r="B15328" i="1"/>
  <c r="B15510" i="1"/>
  <c r="B4133" i="1"/>
  <c r="B17060" i="1"/>
  <c r="B14782" i="1"/>
  <c r="B1397" i="1"/>
  <c r="B16199" i="1"/>
  <c r="B15159" i="1"/>
  <c r="B9904" i="1"/>
  <c r="B5335" i="1"/>
  <c r="B16131" i="1"/>
  <c r="B16398" i="1"/>
  <c r="B638" i="1"/>
  <c r="B8613" i="1"/>
  <c r="B15691" i="1"/>
  <c r="B17082" i="1"/>
  <c r="B8383" i="1"/>
  <c r="B8042" i="1"/>
  <c r="B16512" i="1"/>
  <c r="B9766" i="1"/>
  <c r="B1084" i="1"/>
  <c r="B7356" i="1"/>
  <c r="B16293" i="1"/>
  <c r="B15689" i="1"/>
  <c r="B7318" i="1"/>
  <c r="B5411" i="1"/>
  <c r="B14339" i="1"/>
  <c r="B327" i="1"/>
  <c r="B8379" i="1"/>
  <c r="B8731" i="1"/>
  <c r="B6594" i="1"/>
  <c r="B17579" i="1"/>
  <c r="B9318" i="1"/>
  <c r="B323" i="1"/>
  <c r="B7901" i="1"/>
  <c r="B8603" i="1"/>
  <c r="B8953" i="1"/>
  <c r="B5828" i="1"/>
  <c r="B1467" i="1"/>
  <c r="B16929" i="1"/>
  <c r="B3609" i="1"/>
  <c r="B11023" i="1"/>
  <c r="B9595" i="1"/>
  <c r="B4875" i="1"/>
  <c r="B8345" i="1"/>
  <c r="B7242" i="1"/>
  <c r="B16838" i="1"/>
  <c r="B16825" i="1"/>
  <c r="B9741" i="1"/>
  <c r="B16466" i="1"/>
  <c r="B16746" i="1"/>
  <c r="B7292" i="1"/>
  <c r="B15274" i="1"/>
  <c r="B10212" i="1"/>
  <c r="B8496" i="1"/>
  <c r="B9475" i="1"/>
  <c r="B6325" i="1"/>
  <c r="B14732" i="1"/>
  <c r="B14618" i="1"/>
  <c r="B17887" i="1"/>
  <c r="B16445" i="1"/>
  <c r="B16735" i="1"/>
  <c r="B17426" i="1"/>
  <c r="B15978" i="1"/>
  <c r="B8004" i="1"/>
  <c r="B983" i="1"/>
  <c r="B7148" i="1"/>
  <c r="B7309" i="1"/>
  <c r="B13909" i="1"/>
  <c r="B16928" i="1"/>
  <c r="B7706" i="1"/>
  <c r="B15483" i="1"/>
  <c r="B15284" i="1"/>
  <c r="B17868" i="1"/>
  <c r="B7027" i="1"/>
  <c r="B8299" i="1"/>
  <c r="B16876" i="1"/>
  <c r="B17754" i="1"/>
  <c r="B897" i="1"/>
  <c r="B16913" i="1"/>
  <c r="B987" i="1"/>
  <c r="B16188" i="1"/>
  <c r="B7352" i="1"/>
  <c r="B17087" i="1"/>
  <c r="B9196" i="1"/>
  <c r="B9036" i="1"/>
  <c r="B17491" i="1"/>
  <c r="B8632" i="1"/>
  <c r="B6256" i="1"/>
  <c r="B10056" i="1"/>
  <c r="B16516" i="1"/>
  <c r="B7771" i="1"/>
  <c r="B8430" i="1"/>
  <c r="B14667" i="1"/>
  <c r="B16661" i="1"/>
  <c r="B15354" i="1"/>
  <c r="B8658" i="1"/>
  <c r="B536" i="1"/>
  <c r="B16460" i="1"/>
  <c r="B17290" i="1"/>
  <c r="B16550" i="1"/>
  <c r="B13859" i="1"/>
  <c r="B785" i="1"/>
  <c r="B8550" i="1"/>
  <c r="B17330" i="1"/>
  <c r="B17971" i="1"/>
  <c r="B9699" i="1"/>
  <c r="B7968" i="1"/>
  <c r="B14575" i="1"/>
  <c r="B16653" i="1"/>
  <c r="B14232" i="1"/>
  <c r="B14781" i="1"/>
  <c r="B17496" i="1"/>
  <c r="B8899" i="1"/>
  <c r="B721" i="1"/>
  <c r="B16023" i="1"/>
  <c r="B16300" i="1"/>
  <c r="B8742" i="1"/>
  <c r="B14160" i="1"/>
  <c r="B16164" i="1"/>
  <c r="B7249" i="1"/>
  <c r="B17332" i="1"/>
  <c r="B9028" i="1"/>
  <c r="B7314" i="1"/>
  <c r="B16286" i="1"/>
  <c r="B16726" i="1"/>
  <c r="B5660" i="1"/>
  <c r="B5630" i="1"/>
  <c r="B15849" i="1"/>
  <c r="B17198" i="1"/>
  <c r="B13869" i="1"/>
  <c r="B8588" i="1"/>
  <c r="B351" i="1"/>
  <c r="B9953" i="1"/>
  <c r="B17727" i="1"/>
  <c r="B5361" i="1"/>
  <c r="B16997" i="1"/>
  <c r="B3623" i="1"/>
  <c r="B730" i="1"/>
  <c r="B9498" i="1"/>
  <c r="B1492" i="1"/>
  <c r="B15805" i="1"/>
  <c r="B6040" i="1"/>
  <c r="B17763" i="1"/>
  <c r="B17654" i="1"/>
  <c r="B16765" i="1"/>
  <c r="B15641" i="1"/>
  <c r="B6285" i="1"/>
  <c r="B7253" i="1"/>
  <c r="B9170" i="1"/>
  <c r="B17318" i="1"/>
  <c r="B6120" i="1"/>
  <c r="B15281" i="1"/>
  <c r="B17926" i="1"/>
  <c r="B16963" i="1"/>
  <c r="B15210" i="1"/>
  <c r="B16748" i="1"/>
  <c r="B15230" i="1"/>
  <c r="B15558" i="1"/>
  <c r="B14791" i="1"/>
  <c r="B14715" i="1"/>
  <c r="B15171" i="1"/>
  <c r="B5354" i="1"/>
  <c r="B3001" i="1"/>
  <c r="B17080" i="1"/>
  <c r="B15664" i="1"/>
  <c r="B15519" i="1"/>
  <c r="B16513" i="1"/>
  <c r="B17069" i="1"/>
  <c r="B711" i="1"/>
  <c r="B15808" i="1"/>
  <c r="B16639" i="1"/>
  <c r="B14033" i="1"/>
  <c r="B15364" i="1"/>
  <c r="B17681" i="1"/>
  <c r="B13795" i="1"/>
  <c r="B8228" i="1"/>
  <c r="B16301" i="1"/>
  <c r="B9225" i="1"/>
  <c r="B15478" i="1"/>
  <c r="B10343" i="1"/>
  <c r="B17139" i="1"/>
  <c r="B8532" i="1"/>
  <c r="B5551" i="1"/>
  <c r="B17104" i="1"/>
  <c r="B9708" i="1"/>
  <c r="B9233" i="1"/>
  <c r="B9676" i="1"/>
  <c r="B13819" i="1"/>
  <c r="B15325" i="1"/>
  <c r="B3429" i="1"/>
  <c r="B5958" i="1"/>
  <c r="B1248" i="1"/>
  <c r="B17613" i="1"/>
  <c r="B15797" i="1"/>
  <c r="B16243" i="1"/>
  <c r="B245" i="1"/>
  <c r="B5967" i="1"/>
  <c r="B7800" i="1"/>
  <c r="B17028" i="1"/>
  <c r="B9971" i="1"/>
  <c r="B734" i="1"/>
  <c r="B15247" i="1"/>
  <c r="B14371" i="1"/>
  <c r="B8642" i="1"/>
  <c r="B10180" i="1"/>
  <c r="B15237" i="1"/>
  <c r="B8827" i="1"/>
  <c r="B9527" i="1"/>
  <c r="B6211" i="1"/>
  <c r="B8606" i="1"/>
  <c r="B8516" i="1"/>
  <c r="B16647" i="1"/>
  <c r="B1334" i="1"/>
  <c r="B16436" i="1"/>
  <c r="B17442" i="1"/>
  <c r="B16299" i="1"/>
  <c r="B130" i="1"/>
  <c r="B1451" i="1"/>
  <c r="B15621" i="1"/>
  <c r="B6457" i="1"/>
  <c r="B10117" i="1"/>
  <c r="B16959" i="1"/>
  <c r="B15257" i="1"/>
  <c r="B14203" i="1"/>
  <c r="B4055" i="1"/>
  <c r="B16652" i="1"/>
  <c r="B8910" i="1"/>
  <c r="B17027" i="1"/>
  <c r="B6251" i="1"/>
  <c r="B15402" i="1"/>
  <c r="B448" i="1"/>
  <c r="B13851" i="1"/>
  <c r="B2958" i="1"/>
  <c r="B7351" i="1"/>
  <c r="B13852" i="1"/>
  <c r="B6029" i="1"/>
  <c r="B5601" i="1"/>
  <c r="B8467" i="1"/>
  <c r="B17723" i="1"/>
  <c r="B16957" i="1"/>
  <c r="B7611" i="1"/>
  <c r="B17858" i="1"/>
  <c r="B9228" i="1"/>
  <c r="B6720" i="1"/>
  <c r="B14222" i="1"/>
  <c r="B8464" i="1"/>
  <c r="B8049" i="1"/>
  <c r="B15177" i="1"/>
  <c r="B9725" i="1"/>
  <c r="B1265" i="1"/>
  <c r="B16179" i="1"/>
  <c r="B10436" i="1"/>
  <c r="B14201" i="1"/>
  <c r="B16462" i="1"/>
  <c r="B2687" i="1"/>
  <c r="B17158" i="1"/>
  <c r="B14333" i="1"/>
  <c r="B7885" i="1"/>
  <c r="B420" i="1"/>
  <c r="B17834" i="1"/>
  <c r="B10367" i="1"/>
  <c r="B16860" i="1"/>
  <c r="B15992" i="1"/>
  <c r="B17009" i="1"/>
  <c r="B15287" i="1"/>
  <c r="B9207" i="1"/>
  <c r="B9682" i="1"/>
  <c r="B16304" i="1"/>
  <c r="B16548" i="1"/>
  <c r="B16974" i="1"/>
  <c r="B16305" i="1"/>
  <c r="B1016" i="1"/>
  <c r="B17328" i="1"/>
  <c r="B1347" i="1"/>
  <c r="B8774" i="1"/>
  <c r="B14949" i="1"/>
  <c r="B15559" i="1"/>
  <c r="B15916" i="1"/>
  <c r="B5120" i="1"/>
  <c r="B97" i="1"/>
  <c r="B11142" i="1"/>
  <c r="B16593" i="1"/>
  <c r="B10151" i="1"/>
  <c r="B17702" i="1"/>
  <c r="B8501" i="1"/>
  <c r="B14945" i="1"/>
  <c r="B617" i="1"/>
  <c r="B358" i="1"/>
  <c r="B3355" i="1"/>
  <c r="B16390" i="1"/>
  <c r="B15259" i="1"/>
  <c r="B17077" i="1"/>
  <c r="B14234" i="1"/>
  <c r="B14860" i="1"/>
  <c r="B15355" i="1"/>
  <c r="B14621" i="1"/>
  <c r="B15628" i="1"/>
  <c r="B9482" i="1"/>
  <c r="B10115" i="1"/>
  <c r="B9079" i="1"/>
  <c r="B15853" i="1"/>
  <c r="B9564" i="1"/>
  <c r="B8751" i="1"/>
  <c r="B570" i="1"/>
  <c r="B810" i="1"/>
  <c r="B10109" i="1"/>
  <c r="B368" i="1"/>
  <c r="B10885" i="1"/>
  <c r="B8650" i="1"/>
  <c r="B119" i="1"/>
  <c r="B16419" i="1"/>
  <c r="B1180" i="1"/>
  <c r="B9574" i="1"/>
  <c r="B581" i="1"/>
  <c r="B4586" i="1"/>
  <c r="B17665" i="1"/>
  <c r="B16795" i="1"/>
  <c r="B9143" i="1"/>
  <c r="B81" i="1"/>
  <c r="B10072" i="1"/>
  <c r="B9118" i="1"/>
  <c r="B17874" i="1"/>
  <c r="B8685" i="1"/>
  <c r="B17274" i="1"/>
  <c r="B10010" i="1"/>
  <c r="B9686" i="1"/>
  <c r="B8683" i="1"/>
  <c r="B1377" i="1"/>
  <c r="B690" i="1"/>
  <c r="B7101" i="1"/>
  <c r="B9508" i="1"/>
  <c r="B8587" i="1"/>
  <c r="B1852" i="1"/>
  <c r="B15124" i="1"/>
  <c r="B16335" i="1"/>
  <c r="B10819" i="1"/>
  <c r="B17805" i="1"/>
  <c r="B2744" i="1"/>
  <c r="B8851" i="1"/>
  <c r="B15486" i="1"/>
  <c r="B16386" i="1"/>
  <c r="B16347" i="1"/>
  <c r="B5420" i="1"/>
  <c r="B17304" i="1"/>
  <c r="B15722" i="1"/>
  <c r="B16360" i="1"/>
  <c r="B14895" i="1"/>
  <c r="B6203" i="1"/>
  <c r="B15367" i="1"/>
  <c r="B1126" i="1"/>
  <c r="B16861" i="1"/>
  <c r="B7948" i="1"/>
  <c r="B17645" i="1"/>
  <c r="B357" i="1"/>
  <c r="B17552" i="1"/>
  <c r="B124" i="1"/>
  <c r="B9749" i="1"/>
  <c r="B14172" i="1"/>
  <c r="B16383" i="1"/>
  <c r="B15580" i="1"/>
  <c r="B15207" i="1"/>
  <c r="B16753" i="1"/>
  <c r="B14212" i="1"/>
  <c r="B16946" i="1"/>
  <c r="B9635" i="1"/>
  <c r="B17404" i="1"/>
  <c r="B7648" i="1"/>
  <c r="B13998" i="1"/>
  <c r="B1043" i="1"/>
  <c r="B6152" i="1"/>
  <c r="B15220" i="1"/>
  <c r="B10057" i="1"/>
  <c r="B4101" i="1"/>
  <c r="B16709" i="1"/>
  <c r="B15250" i="1"/>
  <c r="B15161" i="1"/>
  <c r="B1271" i="1"/>
  <c r="B17724" i="1"/>
  <c r="B10043" i="1"/>
  <c r="B434" i="1"/>
  <c r="B16041" i="1"/>
  <c r="B17677" i="1"/>
  <c r="B17055" i="1"/>
  <c r="B8343" i="1"/>
  <c r="B3284" i="1"/>
  <c r="B16553" i="1"/>
  <c r="B5976" i="1"/>
  <c r="B1045" i="1"/>
  <c r="B9822" i="1"/>
  <c r="B14870" i="1"/>
  <c r="B15202" i="1"/>
  <c r="B9870" i="1"/>
  <c r="B14153" i="1"/>
  <c r="B15419" i="1"/>
  <c r="B17406" i="1"/>
  <c r="B8273" i="1"/>
  <c r="B9440" i="1"/>
  <c r="B117" i="1"/>
  <c r="B10365" i="1"/>
  <c r="B14666" i="1"/>
  <c r="B6094" i="1"/>
  <c r="B6123" i="1"/>
  <c r="B16733" i="1"/>
  <c r="B10052" i="1"/>
  <c r="B9715" i="1"/>
  <c r="B9949" i="1"/>
  <c r="B17567" i="1"/>
  <c r="B14896" i="1"/>
  <c r="B15743" i="1"/>
  <c r="B17292" i="1"/>
  <c r="B16976" i="1"/>
  <c r="B15848" i="1"/>
  <c r="B17543" i="1"/>
  <c r="B865" i="1"/>
  <c r="B722" i="1"/>
  <c r="B8790" i="1"/>
  <c r="B8818" i="1"/>
  <c r="B16640" i="1"/>
  <c r="B11032" i="1"/>
  <c r="B1387" i="1"/>
  <c r="B17647" i="1"/>
  <c r="B15677" i="1"/>
  <c r="B15713" i="1"/>
  <c r="B11091" i="1"/>
  <c r="B17301" i="1"/>
  <c r="B9791" i="1"/>
  <c r="B60" i="1"/>
  <c r="B16891" i="1"/>
  <c r="B15282" i="1"/>
  <c r="B14307" i="1"/>
  <c r="B10240" i="1"/>
  <c r="B11001" i="1"/>
  <c r="B17634" i="1"/>
  <c r="B8628" i="1"/>
  <c r="B1296" i="1"/>
  <c r="B16097" i="1"/>
  <c r="B9856" i="1"/>
  <c r="B7043" i="1"/>
  <c r="B8812" i="1"/>
  <c r="B160" i="1"/>
  <c r="B17467" i="1"/>
  <c r="B8845" i="1"/>
  <c r="B16849" i="1"/>
  <c r="B16410" i="1"/>
  <c r="B15570" i="1"/>
  <c r="B17795" i="1"/>
  <c r="B2167" i="1"/>
  <c r="B1170" i="1"/>
  <c r="B1219" i="1"/>
  <c r="B6356" i="1"/>
  <c r="B6640" i="1"/>
  <c r="B5920" i="1"/>
  <c r="B1111" i="1"/>
  <c r="B15040" i="1"/>
  <c r="B9358" i="1"/>
  <c r="B3802" i="1"/>
  <c r="B17477" i="1"/>
  <c r="B17161" i="1"/>
  <c r="B6839" i="1"/>
  <c r="B15982" i="1"/>
  <c r="B620" i="1"/>
  <c r="B9641" i="1"/>
  <c r="B14367" i="1"/>
  <c r="B10248" i="1"/>
  <c r="B6512" i="1"/>
  <c r="B15521" i="1"/>
  <c r="B17373" i="1"/>
  <c r="B8700" i="1"/>
  <c r="B15830" i="1"/>
  <c r="B1103" i="1"/>
  <c r="B14125" i="1"/>
  <c r="B5982" i="1"/>
  <c r="B9553" i="1"/>
  <c r="B9650" i="1"/>
  <c r="B9410" i="1"/>
  <c r="B9557" i="1"/>
  <c r="B9615" i="1"/>
  <c r="B16616" i="1"/>
  <c r="B14078" i="1"/>
  <c r="B376" i="1"/>
  <c r="B15829" i="1"/>
  <c r="B17200" i="1"/>
  <c r="B15396" i="1"/>
  <c r="B8745" i="1"/>
  <c r="B1188" i="1"/>
  <c r="B1164" i="1"/>
  <c r="B16953" i="1"/>
  <c r="B16108" i="1"/>
  <c r="B16752" i="1"/>
  <c r="B1225" i="1"/>
  <c r="B14904" i="1"/>
  <c r="B17353" i="1"/>
  <c r="B17244" i="1"/>
  <c r="B1418" i="1"/>
  <c r="B16587" i="1"/>
  <c r="B15827" i="1"/>
  <c r="B2880" i="1"/>
  <c r="B15448" i="1"/>
  <c r="B8399" i="1"/>
  <c r="B14314" i="1"/>
  <c r="B9990" i="1"/>
  <c r="B9551" i="1"/>
  <c r="B8961" i="1"/>
  <c r="B14131" i="1"/>
  <c r="B16426" i="1"/>
  <c r="B15000" i="1"/>
  <c r="B311" i="1"/>
  <c r="B16066" i="1"/>
  <c r="B2061" i="1"/>
  <c r="B7200" i="1"/>
  <c r="B8585" i="1"/>
  <c r="B2307" i="1"/>
  <c r="B6345" i="1"/>
  <c r="B648" i="1"/>
  <c r="B13834" i="1"/>
  <c r="B15958" i="1"/>
  <c r="B16322" i="1"/>
  <c r="B16063" i="1"/>
  <c r="B16200" i="1"/>
  <c r="B17111" i="1"/>
  <c r="B15227" i="1"/>
  <c r="B9529" i="1"/>
  <c r="B17298" i="1"/>
  <c r="B17906" i="1"/>
  <c r="B830" i="1"/>
  <c r="B9898" i="1"/>
  <c r="B6016" i="1"/>
  <c r="B6746" i="1"/>
  <c r="B8534" i="1"/>
  <c r="B1341" i="1"/>
  <c r="B15153" i="1"/>
  <c r="B834" i="1"/>
  <c r="B15033" i="1"/>
  <c r="B9899" i="1"/>
  <c r="B9866" i="1"/>
  <c r="B16264" i="1"/>
  <c r="B386" i="1"/>
  <c r="B10092" i="1"/>
  <c r="B15695" i="1"/>
  <c r="B16059" i="1"/>
  <c r="B6631" i="1"/>
  <c r="B17839" i="1"/>
  <c r="B6414" i="1"/>
  <c r="B17210" i="1"/>
  <c r="B16061" i="1"/>
  <c r="B15272" i="1"/>
  <c r="B16842" i="1"/>
  <c r="B3237" i="1"/>
  <c r="B9671" i="1"/>
  <c r="B5537" i="1"/>
  <c r="B17435" i="1"/>
  <c r="B5538" i="1"/>
  <c r="B16740" i="1"/>
  <c r="B17466" i="1"/>
  <c r="B5845" i="1"/>
  <c r="B5701" i="1"/>
  <c r="B5522" i="1"/>
  <c r="B1722" i="1"/>
  <c r="B1414" i="1"/>
  <c r="B8442" i="1"/>
  <c r="B8779" i="1"/>
  <c r="B16369" i="1"/>
  <c r="B16354" i="1"/>
  <c r="B15264" i="1"/>
  <c r="B1046" i="1"/>
  <c r="B16870" i="1"/>
  <c r="B16443" i="1"/>
  <c r="B10798" i="1"/>
  <c r="B16611" i="1"/>
  <c r="B17632" i="1"/>
  <c r="B17735" i="1"/>
  <c r="B9069" i="1"/>
  <c r="B6831" i="1"/>
  <c r="B445" i="1"/>
  <c r="B48" i="1"/>
  <c r="B8232" i="1"/>
  <c r="B14423" i="1"/>
  <c r="B9224" i="1"/>
  <c r="B15311" i="1"/>
  <c r="B15885" i="1"/>
  <c r="B10384" i="1"/>
  <c r="B6275" i="1"/>
  <c r="B16716" i="1"/>
  <c r="B16143" i="1"/>
  <c r="B1215" i="1"/>
  <c r="B8264" i="1"/>
  <c r="B10879" i="1"/>
  <c r="B16589" i="1"/>
  <c r="B14845" i="1"/>
  <c r="B15638" i="1"/>
  <c r="B16949" i="1"/>
  <c r="B6134" i="1"/>
  <c r="B15145" i="1"/>
  <c r="B17275" i="1"/>
  <c r="B16020" i="1"/>
  <c r="B14205" i="1"/>
  <c r="B1143" i="1"/>
  <c r="B8841" i="1"/>
  <c r="B9763" i="1"/>
  <c r="B105" i="1"/>
  <c r="B16912" i="1"/>
  <c r="B17199" i="1"/>
  <c r="B15157" i="1"/>
  <c r="B1194" i="1"/>
  <c r="B505" i="1"/>
  <c r="B8521" i="1"/>
  <c r="B5814" i="1"/>
  <c r="B6196" i="1"/>
  <c r="B8998" i="1"/>
  <c r="B10074" i="1"/>
  <c r="B15169" i="1"/>
  <c r="B17049" i="1"/>
  <c r="B8458" i="1"/>
  <c r="B7884" i="1"/>
  <c r="B8308" i="1"/>
  <c r="B5586" i="1"/>
  <c r="B8388" i="1"/>
  <c r="B265" i="1"/>
  <c r="B17331" i="1"/>
  <c r="B17734" i="1"/>
  <c r="B16766" i="1"/>
  <c r="B9329" i="1"/>
  <c r="B16151" i="1"/>
  <c r="B15293" i="1"/>
  <c r="B9888" i="1"/>
  <c r="B4152" i="1"/>
  <c r="B15044" i="1"/>
  <c r="B16087" i="1"/>
  <c r="B16385" i="1"/>
  <c r="B15007" i="1"/>
  <c r="B8769" i="1"/>
  <c r="B1485" i="1"/>
  <c r="B16393" i="1"/>
  <c r="B17062" i="1"/>
  <c r="B15291" i="1"/>
  <c r="B14663" i="1"/>
  <c r="B15589" i="1"/>
  <c r="B9919" i="1"/>
  <c r="B8684" i="1"/>
  <c r="B7667" i="1"/>
  <c r="B17337" i="1"/>
  <c r="B17325" i="1"/>
  <c r="B15407" i="1"/>
  <c r="B14513" i="1"/>
  <c r="B16435" i="1"/>
  <c r="B17573" i="1"/>
  <c r="B8673" i="1"/>
  <c r="B16081" i="1"/>
  <c r="B17155" i="1"/>
  <c r="B9337" i="1"/>
  <c r="B17753" i="1"/>
  <c r="B9878" i="1"/>
  <c r="B17378" i="1"/>
  <c r="B719" i="1"/>
  <c r="B6384" i="1"/>
  <c r="B14156" i="1"/>
  <c r="B7007" i="1"/>
  <c r="B17361" i="1"/>
  <c r="B10827" i="1"/>
  <c r="B6945" i="1"/>
  <c r="B14079" i="1"/>
  <c r="B1192" i="1"/>
  <c r="B6785" i="1"/>
  <c r="B17147" i="1"/>
  <c r="B16559" i="1"/>
  <c r="B17109" i="1"/>
  <c r="B15859" i="1"/>
  <c r="B9251" i="1"/>
  <c r="B14662" i="1"/>
  <c r="B16088" i="1"/>
  <c r="B7627" i="1"/>
  <c r="B15190" i="1"/>
  <c r="B9345" i="1"/>
  <c r="B5596" i="1"/>
  <c r="B8095" i="1"/>
  <c r="B5544" i="1"/>
  <c r="B16666" i="1"/>
  <c r="B5208" i="1"/>
  <c r="B14917" i="1"/>
  <c r="B15948" i="1"/>
  <c r="B16388" i="1"/>
  <c r="B2845" i="1"/>
  <c r="B17393" i="1"/>
  <c r="B2464" i="1"/>
  <c r="B7244" i="1"/>
  <c r="B15538" i="1"/>
  <c r="B15505" i="1"/>
  <c r="B155" i="1"/>
  <c r="B17103" i="1"/>
  <c r="B6425" i="1"/>
  <c r="B15025" i="1"/>
  <c r="B17853" i="1"/>
  <c r="B8446" i="1"/>
  <c r="B17415" i="1"/>
  <c r="B16499" i="1"/>
  <c r="B17695" i="1"/>
  <c r="B17370" i="1"/>
  <c r="B17338" i="1"/>
  <c r="B16247" i="1"/>
  <c r="B7260" i="1"/>
  <c r="B8646" i="1"/>
  <c r="B15324" i="1"/>
  <c r="B17798" i="1"/>
  <c r="B9596" i="1"/>
  <c r="B7098" i="1"/>
  <c r="B7099" i="1"/>
  <c r="B14225" i="1"/>
  <c r="B15375" i="1"/>
  <c r="B2842" i="1"/>
  <c r="B14958" i="1"/>
  <c r="B9103" i="1"/>
  <c r="B13915" i="1"/>
  <c r="B15922" i="1"/>
  <c r="B1145" i="1"/>
  <c r="B14999" i="1"/>
  <c r="B1463" i="1"/>
  <c r="B14897" i="1"/>
  <c r="B17365" i="1"/>
  <c r="B288" i="1"/>
  <c r="B9630" i="1"/>
  <c r="B8664" i="1"/>
  <c r="B146" i="1"/>
  <c r="B15344" i="1"/>
  <c r="B16150" i="1"/>
  <c r="B303" i="1"/>
  <c r="B9180" i="1"/>
  <c r="B8714" i="1"/>
  <c r="B253" i="1"/>
  <c r="B15471" i="1"/>
  <c r="B14950" i="1"/>
  <c r="B6373" i="1"/>
  <c r="B17488" i="1"/>
  <c r="B16254" i="1"/>
  <c r="B7987" i="1"/>
  <c r="B17492" i="1"/>
  <c r="B9683" i="1"/>
  <c r="B8969" i="1"/>
  <c r="B8854" i="1"/>
  <c r="B8824" i="1"/>
  <c r="B2383" i="1"/>
  <c r="B15329" i="1"/>
  <c r="B15777" i="1"/>
  <c r="B8993" i="1"/>
  <c r="B1452" i="1"/>
  <c r="B15606" i="1"/>
  <c r="B17473" i="1"/>
  <c r="B16985" i="1"/>
  <c r="B6438" i="1"/>
  <c r="B8927" i="1"/>
  <c r="B16802" i="1"/>
  <c r="B6475" i="1"/>
  <c r="B15418" i="1"/>
  <c r="B14977" i="1"/>
  <c r="B15341" i="1"/>
  <c r="B10124" i="1"/>
  <c r="B7794" i="1"/>
  <c r="B17668" i="1"/>
  <c r="B15116" i="1"/>
  <c r="B373" i="1"/>
  <c r="B9599" i="1"/>
  <c r="B680" i="1"/>
  <c r="B9884" i="1"/>
  <c r="B9073" i="1"/>
  <c r="B8488" i="1"/>
  <c r="B10137" i="1"/>
  <c r="B8844" i="1"/>
  <c r="B7215" i="1"/>
  <c r="B16407" i="1"/>
  <c r="B16998" i="1"/>
  <c r="B1509" i="1"/>
  <c r="B16588" i="1"/>
  <c r="B14161" i="1"/>
  <c r="B9037" i="1"/>
  <c r="B9319" i="1"/>
  <c r="B17562" i="1"/>
  <c r="B7962" i="1"/>
  <c r="B5740" i="1"/>
  <c r="B6330" i="1"/>
  <c r="B15871" i="1"/>
  <c r="B8420" i="1"/>
  <c r="B7676" i="1"/>
  <c r="B10088" i="1"/>
  <c r="B14224" i="1"/>
  <c r="B10741" i="1"/>
  <c r="B17138" i="1"/>
  <c r="B16302" i="1"/>
  <c r="B16820" i="1"/>
  <c r="B549" i="1"/>
  <c r="B123" i="1"/>
  <c r="B17046" i="1"/>
  <c r="B6933" i="1"/>
  <c r="B7808" i="1"/>
  <c r="B16943" i="1"/>
  <c r="B15176" i="1"/>
  <c r="B16104" i="1"/>
  <c r="B8850" i="1"/>
  <c r="B16529" i="1"/>
  <c r="B9597" i="1"/>
  <c r="B6310" i="1"/>
  <c r="B14091" i="1"/>
  <c r="B15292" i="1"/>
  <c r="B10209" i="1"/>
  <c r="B17006" i="1"/>
  <c r="B16051" i="1"/>
  <c r="B1070" i="1"/>
  <c r="B5883" i="1"/>
  <c r="B9654" i="1"/>
  <c r="B15944" i="1"/>
  <c r="B6996" i="1"/>
  <c r="B1270" i="1"/>
  <c r="B15644" i="1"/>
  <c r="B14275" i="1"/>
  <c r="B16095" i="1"/>
  <c r="B17458" i="1"/>
  <c r="B7831" i="1"/>
  <c r="B5997" i="1"/>
  <c r="B5816" i="1"/>
  <c r="B16259" i="1"/>
  <c r="B17051" i="1"/>
  <c r="B6437" i="1"/>
  <c r="B13931" i="1"/>
  <c r="B4614" i="1"/>
  <c r="B1146" i="1"/>
  <c r="B10169" i="1"/>
  <c r="B17065" i="1"/>
  <c r="B8400" i="1"/>
  <c r="B7963" i="1"/>
  <c r="B8789" i="1"/>
  <c r="B732" i="1"/>
  <c r="B9208" i="1"/>
  <c r="B16922" i="1"/>
  <c r="B14368" i="1"/>
  <c r="B8800" i="1"/>
  <c r="B9327" i="1"/>
  <c r="B17739" i="1"/>
  <c r="B14730" i="1"/>
  <c r="B9573" i="1"/>
  <c r="B14639" i="1"/>
  <c r="B15599" i="1"/>
  <c r="B13883" i="1"/>
  <c r="B1309" i="1"/>
  <c r="B15469" i="1"/>
  <c r="B1465" i="1"/>
  <c r="B14001" i="1"/>
  <c r="B17342" i="1"/>
  <c r="B17213" i="1"/>
  <c r="B14981" i="1"/>
  <c r="B714" i="1"/>
  <c r="B14007" i="1"/>
  <c r="B14713" i="1"/>
  <c r="B14210" i="1"/>
  <c r="B17851" i="1"/>
  <c r="B16376" i="1"/>
  <c r="B14595" i="1"/>
  <c r="B7840" i="1"/>
  <c r="B6133" i="1"/>
  <c r="B9675" i="1"/>
  <c r="B9306" i="1"/>
  <c r="B111" i="1"/>
  <c r="B14631" i="1"/>
  <c r="B14932" i="1"/>
  <c r="B14884" i="1"/>
  <c r="B235" i="1"/>
  <c r="B8809" i="1"/>
  <c r="B15242" i="1"/>
  <c r="B8109" i="1"/>
  <c r="B5743" i="1"/>
  <c r="B16276" i="1"/>
  <c r="B15151" i="1"/>
  <c r="B8231" i="1"/>
  <c r="B17132" i="1"/>
  <c r="B17522" i="1"/>
  <c r="B17420" i="1"/>
  <c r="B17282" i="1"/>
  <c r="B6286" i="1"/>
  <c r="B717" i="1"/>
  <c r="B9571" i="1"/>
  <c r="B2253" i="1"/>
  <c r="B1609" i="1"/>
  <c r="B14395" i="1"/>
  <c r="B13901" i="1"/>
  <c r="B14010" i="1"/>
  <c r="B14442" i="1"/>
  <c r="B10766" i="1"/>
  <c r="B14360" i="1"/>
  <c r="B14426" i="1"/>
  <c r="B5875" i="1"/>
  <c r="B17457" i="1"/>
  <c r="B9789" i="1"/>
  <c r="B16646" i="1"/>
  <c r="B8858" i="1"/>
  <c r="B9964" i="1"/>
  <c r="B16173" i="1"/>
  <c r="B14300" i="1"/>
  <c r="B15262" i="1"/>
  <c r="B17719" i="1"/>
  <c r="B6007" i="1"/>
  <c r="B6342" i="1"/>
  <c r="B8597" i="1"/>
  <c r="B7878" i="1"/>
  <c r="B17078" i="1"/>
  <c r="B16995" i="1"/>
  <c r="B6386" i="1"/>
  <c r="B9389" i="1"/>
  <c r="B9411" i="1"/>
  <c r="B8244" i="1"/>
  <c r="B2354" i="1"/>
  <c r="B8997" i="1"/>
  <c r="B9569" i="1"/>
  <c r="B15989" i="1"/>
  <c r="B9041" i="1"/>
  <c r="B16016" i="1"/>
  <c r="B817" i="1"/>
  <c r="B9121" i="1"/>
  <c r="B5488" i="1"/>
  <c r="B159" i="1"/>
  <c r="B14162" i="1"/>
  <c r="B2449" i="1"/>
  <c r="B1082" i="1"/>
  <c r="B17375" i="1"/>
  <c r="B9335" i="1"/>
  <c r="B8992" i="1"/>
  <c r="B9349" i="1"/>
  <c r="B9144" i="1"/>
  <c r="B8560" i="1"/>
  <c r="B8483" i="1"/>
  <c r="B578" i="1"/>
  <c r="B9276" i="1"/>
  <c r="B10067" i="1"/>
  <c r="B6237" i="1"/>
  <c r="B14113" i="1"/>
  <c r="B15240" i="1"/>
  <c r="B14898" i="1"/>
  <c r="B937" i="1"/>
  <c r="B2347" i="1"/>
  <c r="B232" i="1"/>
  <c r="B14972" i="1"/>
  <c r="B6984" i="1"/>
  <c r="B9790" i="1"/>
  <c r="B7989" i="1"/>
  <c r="B971" i="1"/>
  <c r="B1217" i="1"/>
  <c r="B8904" i="1"/>
  <c r="B9019" i="1"/>
  <c r="B15749" i="1"/>
  <c r="B16056" i="1"/>
  <c r="B14967" i="1"/>
  <c r="B172" i="1"/>
  <c r="B9203" i="1"/>
  <c r="B17748" i="1"/>
  <c r="B96" i="1"/>
  <c r="B8407" i="1"/>
  <c r="B8567" i="1"/>
  <c r="B7115" i="1"/>
  <c r="B7373" i="1"/>
  <c r="B8302" i="1"/>
  <c r="B5972" i="1"/>
  <c r="B1723" i="1"/>
  <c r="B14570" i="1"/>
  <c r="B10788" i="1"/>
  <c r="B12907" i="1"/>
  <c r="B7170" i="1"/>
  <c r="B12071" i="1"/>
  <c r="B14083" i="1"/>
  <c r="B9051" i="1"/>
  <c r="B9441" i="1"/>
  <c r="B3837" i="1"/>
  <c r="B2998" i="1"/>
  <c r="B8716" i="1"/>
  <c r="B13227" i="1"/>
  <c r="B3783" i="1"/>
  <c r="B2884" i="1"/>
  <c r="B1891" i="1"/>
  <c r="B6733" i="1"/>
  <c r="B13639" i="1"/>
  <c r="B6628" i="1"/>
  <c r="B17815" i="1"/>
  <c r="B4542" i="1"/>
  <c r="B1214" i="1"/>
  <c r="B447" i="1"/>
  <c r="B13300" i="1"/>
  <c r="B6845" i="1"/>
  <c r="B724" i="1"/>
  <c r="B6891" i="1"/>
  <c r="B2698" i="1"/>
  <c r="B15502" i="1"/>
  <c r="B11300" i="1"/>
  <c r="B9050" i="1"/>
  <c r="B1727" i="1"/>
  <c r="B15283" i="1"/>
  <c r="B14030" i="1"/>
  <c r="B6936" i="1"/>
  <c r="B3374" i="1"/>
  <c r="B2337" i="1"/>
  <c r="B3314" i="1"/>
  <c r="B6312" i="1"/>
  <c r="B15350" i="1"/>
  <c r="B204" i="1"/>
  <c r="B13442" i="1"/>
  <c r="B7564" i="1"/>
  <c r="B16119" i="1"/>
  <c r="B6207" i="1"/>
  <c r="B10539" i="1"/>
  <c r="B7602" i="1"/>
  <c r="B15073" i="1"/>
  <c r="B15872" i="1"/>
  <c r="B15912" i="1"/>
  <c r="B17091" i="1"/>
  <c r="B2478" i="1"/>
  <c r="B7502" i="1"/>
  <c r="B9403" i="1"/>
  <c r="B16418" i="1"/>
  <c r="B8707" i="1"/>
  <c r="B13556" i="1"/>
  <c r="B8978" i="1"/>
  <c r="B18000" i="1"/>
  <c r="B10297" i="1"/>
  <c r="B15468" i="1"/>
  <c r="B6714" i="1"/>
  <c r="B10495" i="1"/>
  <c r="B1626" i="1"/>
  <c r="B6744" i="1"/>
  <c r="B2322" i="1"/>
  <c r="B1870" i="1"/>
  <c r="B6712" i="1"/>
  <c r="B8811" i="1"/>
  <c r="B2747" i="1"/>
  <c r="B1887" i="1"/>
  <c r="B13270" i="1"/>
  <c r="B13384" i="1"/>
  <c r="B12672" i="1"/>
  <c r="B3676" i="1"/>
  <c r="B7038" i="1"/>
  <c r="B1901" i="1"/>
  <c r="B4634" i="1"/>
  <c r="B5193" i="1"/>
  <c r="B7041" i="1"/>
  <c r="B6629" i="1"/>
  <c r="B4115" i="1"/>
  <c r="B2812" i="1"/>
  <c r="B6878" i="1"/>
  <c r="B12031" i="1"/>
  <c r="B15144" i="1"/>
  <c r="B3137" i="1"/>
  <c r="B7895" i="1"/>
  <c r="B3888" i="1"/>
  <c r="B8727" i="1"/>
  <c r="B13760" i="1"/>
  <c r="B11303" i="1"/>
  <c r="B1875" i="1"/>
  <c r="B1904" i="1"/>
  <c r="B3578" i="1"/>
  <c r="B6609" i="1"/>
  <c r="B12221" i="1"/>
  <c r="B1916" i="1"/>
  <c r="B14034" i="1"/>
  <c r="B6278" i="1"/>
  <c r="B5774" i="1"/>
  <c r="B11384" i="1"/>
  <c r="B14779" i="1"/>
  <c r="B2126" i="1"/>
  <c r="B11814" i="1"/>
  <c r="B16145" i="1"/>
  <c r="B5698" i="1"/>
  <c r="B5758" i="1"/>
  <c r="B5702" i="1"/>
  <c r="B5763" i="1"/>
  <c r="B5782" i="1"/>
  <c r="B5765" i="1"/>
  <c r="B5760" i="1"/>
  <c r="B5779" i="1"/>
  <c r="B14507" i="1"/>
  <c r="B4981" i="1"/>
  <c r="B5775" i="1"/>
  <c r="B5787" i="1"/>
  <c r="B5721" i="1"/>
  <c r="B5454" i="1"/>
  <c r="B343" i="1"/>
  <c r="B9754" i="1"/>
  <c r="B12335" i="1"/>
  <c r="B8005" i="1"/>
  <c r="B11998" i="1"/>
  <c r="B5426" i="1"/>
  <c r="B15100" i="1"/>
  <c r="B15892" i="1"/>
  <c r="B14701" i="1"/>
  <c r="B7126" i="1"/>
  <c r="B7788" i="1"/>
  <c r="B12094" i="1"/>
  <c r="B6756" i="1"/>
  <c r="B8729" i="1"/>
  <c r="B7721" i="1"/>
  <c r="B792" i="1"/>
  <c r="B11131" i="1"/>
  <c r="B1802" i="1"/>
  <c r="B16001" i="1"/>
  <c r="B15701" i="1"/>
  <c r="B1426" i="1"/>
  <c r="B4205" i="1"/>
  <c r="B13973" i="1"/>
  <c r="B4013" i="1"/>
  <c r="B1665" i="1"/>
  <c r="B4886" i="1"/>
  <c r="B4491" i="1"/>
  <c r="B6555" i="1"/>
  <c r="B5704" i="1"/>
  <c r="B5767" i="1"/>
  <c r="B5310" i="1"/>
  <c r="B12804" i="1"/>
  <c r="B7827" i="1"/>
  <c r="B10313" i="1"/>
  <c r="B5356" i="1"/>
  <c r="B17977" i="1"/>
  <c r="B9505" i="1"/>
  <c r="B14486" i="1"/>
  <c r="B293" i="1"/>
  <c r="B2910" i="1"/>
  <c r="B13514" i="1"/>
  <c r="B6520" i="1"/>
  <c r="B3338" i="1"/>
  <c r="B7910" i="1"/>
  <c r="B14206" i="1"/>
  <c r="B4888" i="1"/>
  <c r="B1354" i="1"/>
  <c r="B10537" i="1"/>
  <c r="B17578" i="1"/>
  <c r="B11736" i="1"/>
  <c r="B12842" i="1"/>
  <c r="B11258" i="1"/>
  <c r="B8086" i="1"/>
  <c r="B10989" i="1"/>
  <c r="B13152" i="1"/>
  <c r="B12847" i="1"/>
  <c r="B11196" i="1"/>
  <c r="B11478" i="1"/>
  <c r="B9958" i="1"/>
  <c r="B13131" i="1"/>
  <c r="B17911" i="1"/>
  <c r="B13263" i="1"/>
  <c r="B14944" i="1"/>
  <c r="B1637" i="1"/>
  <c r="B13140" i="1"/>
  <c r="B7097" i="1"/>
  <c r="B13060" i="1"/>
  <c r="B12099" i="1"/>
  <c r="B12378" i="1"/>
  <c r="B6671" i="1"/>
  <c r="B10515" i="1"/>
  <c r="B13282" i="1"/>
  <c r="B11159" i="1"/>
  <c r="B10522" i="1"/>
  <c r="B5124" i="1"/>
  <c r="B12322" i="1"/>
  <c r="B12059" i="1"/>
  <c r="B10825" i="1"/>
  <c r="B10321" i="1"/>
  <c r="B12089" i="1"/>
  <c r="B1993" i="1"/>
  <c r="B10695" i="1"/>
  <c r="B10290" i="1"/>
  <c r="B11267" i="1"/>
  <c r="B12724" i="1"/>
  <c r="B11314" i="1"/>
  <c r="B9428" i="1"/>
  <c r="B12586" i="1"/>
  <c r="B13231" i="1"/>
  <c r="B8722" i="1"/>
  <c r="B8422" i="1"/>
  <c r="B12360" i="1"/>
  <c r="B5316" i="1"/>
  <c r="B10882" i="1"/>
  <c r="B11070" i="1"/>
  <c r="B10521" i="1"/>
  <c r="B7103" i="1"/>
  <c r="B17903" i="1"/>
  <c r="B3009" i="1"/>
  <c r="B10045" i="1"/>
  <c r="B11288" i="1"/>
  <c r="B10897" i="1"/>
  <c r="B14548" i="1"/>
  <c r="B15239" i="1"/>
  <c r="B10309" i="1"/>
  <c r="B11597" i="1"/>
  <c r="B7646" i="1"/>
  <c r="B7517" i="1"/>
  <c r="B1127" i="1"/>
  <c r="B11937" i="1"/>
  <c r="B6821" i="1"/>
  <c r="B9098" i="1"/>
  <c r="B13393" i="1"/>
  <c r="B12041" i="1"/>
  <c r="B10517" i="1"/>
  <c r="B6051" i="1"/>
  <c r="B8022" i="1"/>
  <c r="B8037" i="1"/>
  <c r="B8036" i="1"/>
  <c r="B8040" i="1"/>
  <c r="B12853" i="1"/>
  <c r="B4079" i="1"/>
  <c r="B5334" i="1"/>
  <c r="B15846" i="1"/>
  <c r="B11220" i="1"/>
  <c r="B16519" i="1"/>
  <c r="B12038" i="1"/>
  <c r="B7747" i="1"/>
  <c r="B10938" i="1"/>
  <c r="B3033" i="1"/>
  <c r="B2902" i="1"/>
  <c r="B7454" i="1"/>
  <c r="B13684" i="1"/>
  <c r="B13088" i="1"/>
  <c r="B5754" i="1"/>
  <c r="B4021" i="1"/>
  <c r="B10494" i="1"/>
  <c r="B6212" i="1"/>
  <c r="B13543" i="1"/>
  <c r="B3113" i="1"/>
  <c r="B11379" i="1"/>
  <c r="B11945" i="1"/>
  <c r="B1531" i="1"/>
  <c r="B5965" i="1"/>
  <c r="B12117" i="1"/>
  <c r="B17905" i="1"/>
  <c r="B8477" i="1"/>
  <c r="B11587" i="1"/>
  <c r="B8725" i="1"/>
  <c r="B10481" i="1"/>
  <c r="B1820" i="1"/>
  <c r="B12264" i="1"/>
  <c r="B12131" i="1"/>
  <c r="B12732" i="1"/>
  <c r="B17740" i="1"/>
  <c r="B10378" i="1"/>
  <c r="B3803" i="1"/>
  <c r="B12270" i="1"/>
  <c r="B12024" i="1"/>
  <c r="B9946" i="1"/>
  <c r="B7133" i="1"/>
  <c r="B18" i="1"/>
  <c r="B5071" i="1"/>
  <c r="B14427" i="1"/>
  <c r="B4387" i="1"/>
  <c r="B11708" i="1"/>
  <c r="B17934" i="1"/>
  <c r="B11115" i="1"/>
  <c r="B8866" i="1"/>
  <c r="B7746" i="1"/>
  <c r="B11496" i="1"/>
  <c r="B4354" i="1"/>
  <c r="B13341" i="1"/>
  <c r="B4096" i="1"/>
  <c r="B12020" i="1"/>
  <c r="B2572" i="1"/>
  <c r="B3545" i="1"/>
  <c r="B11662" i="1"/>
  <c r="B3750" i="1"/>
  <c r="B8050" i="1"/>
  <c r="B13376" i="1"/>
  <c r="B4856" i="1"/>
  <c r="B10971" i="1"/>
  <c r="B6101" i="1"/>
  <c r="B5880" i="1"/>
  <c r="B6161" i="1"/>
  <c r="B5879" i="1"/>
  <c r="B5453" i="1"/>
  <c r="B5878" i="1"/>
  <c r="B8316" i="1"/>
  <c r="B4283" i="1"/>
  <c r="B11102" i="1"/>
  <c r="B5399" i="1"/>
  <c r="B6615" i="1"/>
  <c r="B16757" i="1"/>
  <c r="B7201" i="1"/>
  <c r="B11287" i="1"/>
  <c r="B12891" i="1"/>
  <c r="B4284" i="1"/>
  <c r="B8782" i="1"/>
  <c r="B11561" i="1"/>
  <c r="B17921" i="1"/>
  <c r="B2545" i="1"/>
  <c r="B8980" i="1"/>
  <c r="B12114" i="1"/>
  <c r="B2881" i="1"/>
  <c r="B8669" i="1"/>
  <c r="B10829" i="1"/>
  <c r="B8821" i="1"/>
  <c r="B10472" i="1"/>
  <c r="B11505" i="1"/>
  <c r="B9858" i="1"/>
  <c r="B8988" i="1"/>
  <c r="B1534" i="1"/>
  <c r="B10335" i="1"/>
  <c r="B7653" i="1"/>
  <c r="B11265" i="1"/>
  <c r="B9248" i="1"/>
  <c r="B8230" i="1"/>
  <c r="B8047" i="1"/>
  <c r="B14528" i="1"/>
  <c r="B10846" i="1"/>
  <c r="B8350" i="1"/>
  <c r="B17927" i="1"/>
  <c r="B9972" i="1"/>
  <c r="B8455" i="1"/>
  <c r="B7637" i="1"/>
  <c r="B12798" i="1"/>
  <c r="B11234" i="1"/>
  <c r="B12362" i="1"/>
  <c r="B10764" i="1"/>
  <c r="B17929" i="1"/>
  <c r="B11492" i="1"/>
  <c r="B9115" i="1"/>
  <c r="B12537" i="1"/>
  <c r="B5220" i="1"/>
  <c r="B14183" i="1"/>
  <c r="B9679" i="1"/>
  <c r="B2275" i="1"/>
  <c r="B1936" i="1"/>
  <c r="B760" i="1"/>
  <c r="B4663" i="1"/>
  <c r="B8439" i="1"/>
  <c r="B11569" i="1"/>
  <c r="B12013" i="1"/>
  <c r="B4553" i="1"/>
  <c r="B7598" i="1"/>
  <c r="B9563" i="1"/>
  <c r="B4751" i="1"/>
  <c r="B3005" i="1"/>
  <c r="B12866" i="1"/>
  <c r="B6842" i="1"/>
  <c r="B2040" i="1"/>
  <c r="B3509" i="1"/>
  <c r="B11268" i="1"/>
  <c r="B2775" i="1"/>
  <c r="B13193" i="1"/>
  <c r="B13037" i="1"/>
  <c r="B8024" i="1"/>
  <c r="B8678" i="1"/>
  <c r="B6477" i="1"/>
  <c r="B8088" i="1"/>
  <c r="B5952" i="1"/>
  <c r="B17955" i="1"/>
  <c r="B10358" i="1"/>
  <c r="B7174" i="1"/>
  <c r="B8393" i="1"/>
  <c r="B11211" i="1"/>
  <c r="B7168" i="1"/>
  <c r="B10360" i="1"/>
  <c r="B16645" i="1"/>
  <c r="B8794" i="1"/>
  <c r="B21" i="1"/>
  <c r="B14560" i="1"/>
  <c r="B17756" i="1"/>
  <c r="B10138" i="1"/>
  <c r="B14057" i="1"/>
  <c r="B8254" i="1"/>
  <c r="B6580" i="1"/>
  <c r="B16846" i="1"/>
  <c r="B5768" i="1"/>
  <c r="B17540" i="1"/>
  <c r="B15795" i="1"/>
  <c r="B15165" i="1"/>
  <c r="B1787" i="1"/>
  <c r="B8150" i="1"/>
  <c r="B17455" i="1"/>
  <c r="B8547" i="1"/>
  <c r="B15453" i="1"/>
  <c r="B6283" i="1"/>
  <c r="B9301" i="1"/>
  <c r="B16648" i="1"/>
  <c r="B15566" i="1"/>
  <c r="B10657" i="1"/>
  <c r="B16785" i="1"/>
  <c r="B6411" i="1"/>
  <c r="B10044" i="1"/>
  <c r="B17895" i="1"/>
  <c r="B15768" i="1"/>
  <c r="B5523" i="1"/>
  <c r="B15397" i="1"/>
  <c r="B6337" i="1"/>
  <c r="B1101" i="1"/>
  <c r="B316" i="1"/>
  <c r="B6019" i="1"/>
  <c r="B6035" i="1"/>
  <c r="B15499" i="1"/>
  <c r="B17221" i="1"/>
  <c r="B7738" i="1"/>
  <c r="B6401" i="1"/>
  <c r="B7816" i="1"/>
  <c r="B15697" i="1"/>
  <c r="B16128" i="1"/>
  <c r="B15513" i="1"/>
  <c r="B16954" i="1"/>
  <c r="B16057" i="1"/>
  <c r="B14141" i="1"/>
  <c r="B6350" i="1"/>
  <c r="B16161" i="1"/>
  <c r="B15150" i="1"/>
  <c r="B15584" i="1"/>
  <c r="B6307" i="1"/>
  <c r="B15459" i="1"/>
  <c r="B7012" i="1"/>
  <c r="B15316" i="1"/>
  <c r="B15550" i="1"/>
  <c r="B15601" i="1"/>
  <c r="B17243" i="1"/>
  <c r="B461" i="1"/>
  <c r="B5964" i="1"/>
  <c r="B15745" i="1"/>
  <c r="B5770" i="1"/>
  <c r="B15864" i="1"/>
  <c r="B5730" i="1"/>
  <c r="B14387" i="1"/>
  <c r="B5711" i="1"/>
  <c r="B5776" i="1"/>
  <c r="B5455" i="1"/>
  <c r="B5766" i="1"/>
  <c r="B4449" i="1"/>
  <c r="B12070" i="1"/>
  <c r="B3776" i="1"/>
  <c r="B15581" i="1"/>
  <c r="B4974" i="1"/>
  <c r="B10871" i="1"/>
  <c r="B15412" i="1"/>
  <c r="B15121" i="1"/>
  <c r="B6748" i="1"/>
  <c r="B16658" i="1"/>
  <c r="B793" i="1"/>
  <c r="B4499" i="1"/>
  <c r="B736" i="1"/>
  <c r="B524" i="1"/>
  <c r="B4246" i="1"/>
  <c r="B1612" i="1"/>
  <c r="B16191" i="1"/>
  <c r="B14776" i="1"/>
  <c r="B7319" i="1"/>
  <c r="B8338" i="1"/>
  <c r="B9752" i="1"/>
  <c r="B2247" i="1"/>
  <c r="B17938" i="1"/>
  <c r="B1411" i="1"/>
  <c r="B949" i="1"/>
  <c r="B454" i="1"/>
  <c r="B6885" i="1"/>
  <c r="B4265" i="1"/>
  <c r="B10722" i="1"/>
  <c r="B4566" i="1"/>
  <c r="B11754" i="1"/>
  <c r="B14148" i="1"/>
  <c r="B3505" i="1"/>
  <c r="B4009" i="1"/>
  <c r="B4605" i="1"/>
  <c r="B15485" i="1"/>
  <c r="B15605" i="1"/>
  <c r="B6540" i="1"/>
  <c r="B13189" i="1"/>
  <c r="B2148" i="1"/>
  <c r="B7607" i="1"/>
  <c r="B3789" i="1"/>
  <c r="B5198" i="1"/>
  <c r="B1154" i="1"/>
  <c r="B5887" i="1"/>
  <c r="B16205" i="1"/>
  <c r="B4518" i="1"/>
  <c r="B2795" i="1"/>
  <c r="B4078" i="1"/>
  <c r="B4324" i="1"/>
  <c r="B9783" i="1"/>
  <c r="B1650" i="1"/>
  <c r="B4590" i="1"/>
  <c r="B625" i="1"/>
  <c r="B5092" i="1"/>
  <c r="B3144" i="1"/>
  <c r="B477" i="1"/>
  <c r="B3834" i="1"/>
  <c r="B5152" i="1"/>
  <c r="B2469" i="1"/>
  <c r="B16078" i="1"/>
  <c r="B1495" i="1"/>
  <c r="B4064" i="1"/>
  <c r="B2891" i="1"/>
  <c r="B11996" i="1"/>
  <c r="B5835" i="1"/>
  <c r="B7969" i="1"/>
  <c r="B3916" i="1"/>
  <c r="B5682" i="1"/>
  <c r="B12007" i="1"/>
  <c r="B1853" i="1"/>
  <c r="B3280" i="1"/>
  <c r="B3360" i="1"/>
  <c r="B12355" i="1"/>
  <c r="B13065" i="1"/>
  <c r="B7629" i="1"/>
  <c r="B5112" i="1"/>
  <c r="B8698" i="1"/>
  <c r="B17571" i="1"/>
  <c r="B5378" i="1"/>
  <c r="B12946" i="1"/>
  <c r="B12854" i="1"/>
  <c r="B7828" i="1"/>
  <c r="B6068" i="1"/>
  <c r="B17941" i="1"/>
  <c r="B3198" i="1"/>
  <c r="B13748" i="1"/>
  <c r="B10719" i="1"/>
  <c r="B17967" i="1"/>
  <c r="B11772" i="1"/>
  <c r="B3077" i="1"/>
  <c r="B4209" i="1"/>
  <c r="B4852" i="1"/>
  <c r="B7761" i="1"/>
  <c r="B6840" i="1"/>
  <c r="B10410" i="1"/>
  <c r="B12915" i="1"/>
  <c r="B4003" i="1"/>
  <c r="B12434" i="1"/>
  <c r="B14523" i="1"/>
  <c r="B10327" i="1"/>
  <c r="B4337" i="1"/>
  <c r="B8190" i="1"/>
  <c r="B11106" i="1"/>
  <c r="B12265" i="1"/>
  <c r="B5008" i="1"/>
  <c r="B14294" i="1"/>
  <c r="B3010" i="1"/>
  <c r="B13070" i="1"/>
  <c r="B10346" i="1"/>
  <c r="B1879" i="1"/>
  <c r="B12365" i="1"/>
  <c r="B8672" i="1"/>
  <c r="B5087" i="1"/>
  <c r="B1876" i="1"/>
  <c r="B11407" i="1"/>
  <c r="B11687" i="1"/>
  <c r="B12910" i="1"/>
  <c r="B7722" i="1"/>
  <c r="B7405" i="1"/>
  <c r="B8276" i="1"/>
  <c r="B7640" i="1"/>
  <c r="B4608" i="1"/>
  <c r="B3631" i="1"/>
  <c r="B10564" i="1"/>
  <c r="B16833" i="1"/>
  <c r="B11550" i="1"/>
  <c r="B1649" i="1"/>
  <c r="B13212" i="1"/>
  <c r="B3721" i="1"/>
  <c r="B11602" i="1"/>
  <c r="B4113" i="1"/>
  <c r="B7118" i="1"/>
  <c r="B4903" i="1"/>
  <c r="B2645" i="1"/>
  <c r="B11291" i="1"/>
  <c r="B11853" i="1"/>
  <c r="B12228" i="1"/>
  <c r="B11841" i="1"/>
  <c r="B11882" i="1"/>
  <c r="B11123" i="1"/>
  <c r="B8839" i="1"/>
  <c r="B8402" i="1"/>
  <c r="B10314" i="1"/>
  <c r="B14608" i="1"/>
  <c r="B1683" i="1"/>
  <c r="B13942" i="1"/>
  <c r="B10843" i="1"/>
  <c r="B10717" i="1"/>
  <c r="B8671" i="1"/>
  <c r="B14642" i="1"/>
  <c r="B11302" i="1"/>
  <c r="B5398" i="1"/>
  <c r="B9798" i="1"/>
  <c r="B14510" i="1"/>
  <c r="B11656" i="1"/>
  <c r="B13258" i="1"/>
  <c r="B6813" i="1"/>
  <c r="B5063" i="1"/>
  <c r="B11439" i="1"/>
  <c r="B11040" i="1"/>
  <c r="B12759" i="1"/>
  <c r="B6595" i="1"/>
  <c r="B6591" i="1"/>
  <c r="B12263" i="1"/>
  <c r="B12942" i="1"/>
  <c r="B3094" i="1"/>
  <c r="B9556" i="1"/>
  <c r="B12327" i="1"/>
  <c r="B12473" i="1"/>
  <c r="B8849" i="1"/>
  <c r="B12491" i="1"/>
  <c r="B16739" i="1"/>
  <c r="B7117" i="1"/>
  <c r="B4288" i="1"/>
  <c r="B14025" i="1"/>
  <c r="B17994" i="1"/>
  <c r="B14572" i="1"/>
  <c r="B11985" i="1"/>
  <c r="B4185" i="1"/>
  <c r="B9873" i="1"/>
  <c r="B6614" i="1"/>
  <c r="B11751" i="1"/>
  <c r="B2567" i="1"/>
  <c r="B4482" i="1"/>
  <c r="B12350" i="1"/>
  <c r="B13576" i="1"/>
  <c r="B5020" i="1"/>
  <c r="B5677" i="1"/>
  <c r="B3364" i="1"/>
  <c r="B13047" i="1"/>
  <c r="B2444" i="1"/>
  <c r="B6561" i="1"/>
  <c r="B11579" i="1"/>
  <c r="B5156" i="1"/>
  <c r="B12427" i="1"/>
  <c r="B1721" i="1"/>
  <c r="B11228" i="1"/>
  <c r="B13206" i="1"/>
  <c r="B7231" i="1"/>
  <c r="B10324" i="1"/>
  <c r="B14587" i="1"/>
  <c r="B13117" i="1"/>
  <c r="B3885" i="1"/>
  <c r="B1866" i="1"/>
  <c r="B9966" i="1"/>
  <c r="B15015" i="1"/>
  <c r="B2639" i="1"/>
  <c r="B13211" i="1"/>
  <c r="B13278" i="1"/>
  <c r="B5404" i="1"/>
  <c r="B14773" i="1"/>
  <c r="B2510" i="1"/>
  <c r="B5800" i="1"/>
  <c r="B5801" i="1"/>
  <c r="B5790" i="1"/>
  <c r="B5699" i="1"/>
  <c r="B5821" i="1"/>
  <c r="B5697" i="1"/>
  <c r="B5741" i="1"/>
  <c r="B5750" i="1"/>
  <c r="B8923" i="1"/>
  <c r="B5803" i="1"/>
  <c r="B5788" i="1"/>
  <c r="B5808" i="1"/>
  <c r="B11135" i="1"/>
  <c r="B5802" i="1"/>
  <c r="B5804" i="1"/>
  <c r="B5703" i="1"/>
  <c r="B5789" i="1"/>
  <c r="B13011" i="1"/>
  <c r="B3377" i="1"/>
  <c r="B5101" i="1"/>
  <c r="B2159" i="1"/>
  <c r="B3367" i="1"/>
  <c r="B14916" i="1"/>
  <c r="B7658" i="1"/>
  <c r="B10071" i="1"/>
  <c r="B15637" i="1"/>
  <c r="B10923" i="1"/>
  <c r="B4203" i="1"/>
  <c r="B4117" i="1"/>
  <c r="B9849" i="1"/>
  <c r="B17883" i="1"/>
  <c r="B3628" i="1"/>
  <c r="B1184" i="1"/>
  <c r="B13380" i="1"/>
  <c r="B10730" i="1"/>
  <c r="B10809" i="1"/>
  <c r="B3787" i="1"/>
  <c r="B6972" i="1"/>
  <c r="B16430" i="1"/>
  <c r="B863" i="1"/>
  <c r="B3466" i="1"/>
  <c r="B4060" i="1"/>
  <c r="B7138" i="1"/>
  <c r="B10929" i="1"/>
  <c r="B7069" i="1"/>
  <c r="B4828" i="1"/>
  <c r="B10368" i="1"/>
  <c r="B4296" i="1"/>
  <c r="B1618" i="1"/>
  <c r="B1596" i="1"/>
  <c r="B10191" i="1"/>
  <c r="B11572" i="1"/>
  <c r="B12789" i="1"/>
  <c r="B2529" i="1"/>
  <c r="B11215" i="1"/>
  <c r="B6349" i="1"/>
  <c r="B4173" i="1"/>
  <c r="B1408" i="1"/>
  <c r="B4423" i="1"/>
  <c r="B14948" i="1"/>
  <c r="B4827" i="1"/>
  <c r="B7378" i="1"/>
  <c r="B2580" i="1"/>
  <c r="B10858" i="1"/>
  <c r="B6329" i="1"/>
  <c r="B7730" i="1"/>
  <c r="B7248" i="1"/>
  <c r="B406" i="1"/>
  <c r="B12049" i="1"/>
  <c r="B16062" i="1"/>
  <c r="B1717" i="1"/>
  <c r="B11700" i="1"/>
  <c r="B2927" i="1"/>
  <c r="B744" i="1"/>
  <c r="B12544" i="1"/>
  <c r="B10441" i="1"/>
  <c r="B7865" i="1"/>
  <c r="B5075" i="1"/>
  <c r="B17961" i="1"/>
  <c r="B2771" i="1"/>
  <c r="B11600" i="1"/>
  <c r="B3337" i="1"/>
  <c r="B4864" i="1"/>
  <c r="B8447" i="1"/>
  <c r="B13644" i="1"/>
  <c r="B9178" i="1"/>
  <c r="B8142" i="1"/>
  <c r="B1440" i="1"/>
  <c r="B6268" i="1"/>
  <c r="B14265" i="1"/>
  <c r="B3098" i="1"/>
  <c r="B8247" i="1"/>
  <c r="B94" i="1"/>
  <c r="B2230" i="1"/>
  <c r="B13422" i="1"/>
  <c r="B4510" i="1"/>
  <c r="B5178" i="1"/>
  <c r="B2133" i="1"/>
  <c r="B6577" i="1"/>
  <c r="B2438" i="1"/>
  <c r="B2443" i="1"/>
  <c r="B13137" i="1"/>
  <c r="B5013" i="1"/>
  <c r="B3875" i="1"/>
  <c r="B3815" i="1"/>
  <c r="B2488" i="1"/>
  <c r="B5060" i="1"/>
  <c r="B6484" i="1"/>
  <c r="B12413" i="1"/>
  <c r="B4962" i="1"/>
  <c r="B4282" i="1"/>
  <c r="B15083" i="1"/>
  <c r="B964" i="1"/>
  <c r="B257" i="1"/>
  <c r="B2776" i="1"/>
  <c r="B1417" i="1"/>
  <c r="B4082" i="1"/>
  <c r="B6634" i="1"/>
  <c r="B2579" i="1"/>
  <c r="B14655" i="1"/>
  <c r="B3318" i="1"/>
  <c r="B1780" i="1"/>
  <c r="B5038" i="1"/>
  <c r="B7864" i="1"/>
  <c r="B5670" i="1"/>
  <c r="B5817" i="1"/>
  <c r="B7867" i="1"/>
  <c r="B15010" i="1"/>
  <c r="B1594" i="1"/>
  <c r="B3688" i="1"/>
  <c r="B5107" i="1"/>
  <c r="B12752" i="1"/>
  <c r="B3484" i="1"/>
  <c r="B10689" i="1"/>
  <c r="B3845" i="1"/>
  <c r="B9694" i="1"/>
  <c r="B8053" i="1"/>
  <c r="B7652" i="1"/>
  <c r="B12697" i="1"/>
  <c r="B3606" i="1"/>
  <c r="B12447" i="1"/>
  <c r="B11271" i="1"/>
  <c r="B11568" i="1"/>
  <c r="B15766" i="1"/>
  <c r="B5018" i="1"/>
  <c r="B8517" i="1"/>
  <c r="B4071" i="1"/>
  <c r="B1376" i="1"/>
  <c r="B3465" i="1"/>
  <c r="B3123" i="1"/>
  <c r="B2328" i="1"/>
  <c r="B2715" i="1"/>
  <c r="B5048" i="1"/>
  <c r="B16157" i="1"/>
  <c r="B6370" i="1"/>
  <c r="B3433" i="1"/>
  <c r="B12106" i="1"/>
  <c r="B2264" i="1"/>
  <c r="B12835" i="1"/>
  <c r="B12346" i="1"/>
  <c r="B7932" i="1"/>
  <c r="B4844" i="1"/>
  <c r="B5797" i="1"/>
  <c r="B11756" i="1"/>
  <c r="B3975" i="1"/>
  <c r="B5746" i="1"/>
  <c r="B135" i="1"/>
  <c r="B1535" i="1"/>
  <c r="B1254" i="1"/>
  <c r="B12453" i="1"/>
  <c r="B1358" i="1"/>
  <c r="B3647" i="1"/>
  <c r="B6896" i="1"/>
  <c r="B12649" i="1"/>
  <c r="B9593" i="1"/>
  <c r="B985" i="1"/>
  <c r="B6939" i="1"/>
  <c r="B17439" i="1"/>
  <c r="B1224" i="1"/>
  <c r="B7688" i="1"/>
  <c r="B9521" i="1"/>
  <c r="B14003" i="1"/>
  <c r="B12505" i="1"/>
  <c r="B2963" i="1"/>
  <c r="B3122" i="1"/>
  <c r="B5442" i="1"/>
  <c r="B13475" i="1"/>
  <c r="B10390" i="1"/>
  <c r="B1671" i="1"/>
  <c r="B2346" i="1"/>
  <c r="B2036" i="1"/>
  <c r="B820" i="1"/>
  <c r="B2613" i="1"/>
  <c r="B7692" i="1"/>
  <c r="B12715" i="1"/>
  <c r="B15828" i="1"/>
  <c r="B1659" i="1"/>
  <c r="B8828" i="1"/>
  <c r="B3115" i="1"/>
  <c r="B2481" i="1"/>
  <c r="B6683" i="1"/>
  <c r="B11949" i="1"/>
  <c r="B8924" i="1"/>
  <c r="B6832" i="1"/>
  <c r="B59" i="1"/>
  <c r="B11011" i="1"/>
  <c r="B6215" i="1"/>
  <c r="B12170" i="1"/>
  <c r="B8474" i="1"/>
  <c r="B7810" i="1"/>
  <c r="B5138" i="1"/>
  <c r="B7729" i="1"/>
  <c r="B12834" i="1"/>
  <c r="B12507" i="1"/>
  <c r="B11250" i="1"/>
  <c r="B12755" i="1"/>
  <c r="B4250" i="1"/>
  <c r="B16489" i="1"/>
  <c r="B11989" i="1"/>
  <c r="B11175" i="1"/>
  <c r="B1135" i="1"/>
  <c r="B3728" i="1"/>
  <c r="B8746" i="1"/>
  <c r="B17976" i="1"/>
  <c r="B9846" i="1"/>
  <c r="B11639" i="1"/>
  <c r="B8968" i="1"/>
  <c r="B13832" i="1"/>
  <c r="B4866" i="1"/>
  <c r="B8094" i="1"/>
  <c r="B17212" i="1"/>
  <c r="B3574" i="1"/>
  <c r="B10459" i="1"/>
  <c r="B4820" i="1"/>
  <c r="B868" i="1"/>
  <c r="B2434" i="1"/>
  <c r="B3518" i="1"/>
  <c r="B6635" i="1"/>
  <c r="B10629" i="1"/>
  <c r="B8897" i="1"/>
  <c r="B10482" i="1"/>
  <c r="B1950" i="1"/>
  <c r="B626" i="1"/>
  <c r="B4537" i="1"/>
  <c r="B5735" i="1"/>
  <c r="B11678" i="1"/>
  <c r="B11058" i="1"/>
  <c r="B9014" i="1"/>
  <c r="B4598" i="1"/>
  <c r="B13350" i="1"/>
  <c r="B4114" i="1"/>
  <c r="B9132" i="1"/>
  <c r="B618" i="1"/>
  <c r="B4327" i="1"/>
  <c r="B3008" i="1"/>
  <c r="B7712" i="1"/>
  <c r="B7886" i="1"/>
  <c r="B10491" i="1"/>
  <c r="B3061" i="1"/>
  <c r="B3103" i="1"/>
  <c r="B15739" i="1"/>
  <c r="B13671" i="1"/>
  <c r="B13524" i="1"/>
  <c r="B9576" i="1"/>
  <c r="B7812" i="1"/>
  <c r="B6977" i="1"/>
  <c r="B6978" i="1"/>
  <c r="B13130" i="1"/>
  <c r="B5273" i="1"/>
  <c r="B5264" i="1"/>
  <c r="B13360" i="1"/>
  <c r="B10298" i="1"/>
  <c r="B8215" i="1"/>
  <c r="B12995" i="1"/>
  <c r="B15225" i="1"/>
  <c r="B12581" i="1"/>
  <c r="B5262" i="1"/>
  <c r="B859" i="1"/>
  <c r="B9857" i="1"/>
  <c r="B5080" i="1"/>
  <c r="B13577" i="1"/>
  <c r="B8426" i="1"/>
  <c r="B12281" i="1"/>
  <c r="B10509" i="1"/>
  <c r="B8616" i="1"/>
  <c r="B10192" i="1"/>
  <c r="B8625" i="1"/>
  <c r="B7643" i="1"/>
  <c r="B24" i="1"/>
  <c r="B13419" i="1"/>
  <c r="B1754" i="1"/>
  <c r="B8497" i="1"/>
  <c r="B12569" i="1"/>
  <c r="B10898" i="1"/>
  <c r="B11395" i="1"/>
  <c r="B5502" i="1"/>
  <c r="B13187" i="1"/>
  <c r="B5700" i="1"/>
  <c r="B10272" i="1"/>
  <c r="B1945" i="1"/>
  <c r="B12496" i="1"/>
  <c r="B10506" i="1"/>
  <c r="B11488" i="1"/>
  <c r="B3203" i="1"/>
  <c r="B6709" i="1"/>
  <c r="B12148" i="1"/>
  <c r="B9828" i="1"/>
  <c r="B2074" i="1"/>
  <c r="B11440" i="1"/>
  <c r="B13445" i="1"/>
  <c r="B10735" i="1"/>
  <c r="B12998" i="1"/>
  <c r="B2080" i="1"/>
  <c r="B10777" i="1"/>
  <c r="B1412" i="1"/>
  <c r="B5324" i="1"/>
  <c r="B13403" i="1"/>
  <c r="B13665" i="1"/>
  <c r="B9274" i="1"/>
  <c r="B7055" i="1"/>
  <c r="B6851" i="1"/>
  <c r="B11094" i="1"/>
  <c r="B2288" i="1"/>
  <c r="B611" i="1"/>
  <c r="B2780" i="1"/>
  <c r="B11986" i="1"/>
  <c r="B17726" i="1"/>
  <c r="B13557" i="1"/>
  <c r="B13067" i="1"/>
  <c r="B12680" i="1"/>
  <c r="B4138" i="1"/>
  <c r="B11097" i="1"/>
  <c r="B4656" i="1"/>
  <c r="B1762" i="1"/>
  <c r="B8288" i="1"/>
  <c r="B2150" i="1"/>
  <c r="B2317" i="1"/>
  <c r="B1999" i="1"/>
  <c r="B4467" i="1"/>
  <c r="B11878" i="1"/>
  <c r="B8328" i="1"/>
  <c r="B11999" i="1"/>
  <c r="B5723" i="1"/>
  <c r="B11982" i="1"/>
  <c r="B5831" i="1"/>
  <c r="B11964" i="1"/>
  <c r="B11980" i="1"/>
  <c r="B13642" i="1"/>
  <c r="B5294" i="1"/>
  <c r="B5177" i="1"/>
  <c r="B14997" i="1"/>
  <c r="B4062" i="1"/>
  <c r="B15094" i="1"/>
  <c r="B2234" i="1"/>
  <c r="B4018" i="1"/>
  <c r="B11503" i="1"/>
  <c r="B5874" i="1"/>
  <c r="B2373" i="1"/>
  <c r="B4404" i="1"/>
  <c r="B13106" i="1"/>
  <c r="B13348" i="1"/>
  <c r="B5062" i="1"/>
  <c r="B9807" i="1"/>
  <c r="B3435" i="1"/>
  <c r="B11053" i="1"/>
  <c r="B14543" i="1"/>
  <c r="B4012" i="1"/>
  <c r="B2879" i="1"/>
  <c r="B9939" i="1"/>
  <c r="B6346" i="1"/>
  <c r="B12867" i="1"/>
  <c r="B2751" i="1"/>
  <c r="B4010" i="1"/>
  <c r="B6976" i="1"/>
  <c r="B723" i="1"/>
  <c r="B14734" i="1"/>
  <c r="B4982" i="1"/>
  <c r="B6177" i="1"/>
  <c r="B1736" i="1"/>
  <c r="B13434" i="1"/>
  <c r="B1656" i="1"/>
  <c r="B814" i="1"/>
  <c r="B16198" i="1"/>
  <c r="B13894" i="1"/>
  <c r="B16520" i="1"/>
  <c r="B8487" i="1"/>
  <c r="B8186" i="1"/>
  <c r="B2144" i="1"/>
  <c r="B11140" i="1"/>
  <c r="B1030" i="1"/>
  <c r="B4243" i="1"/>
  <c r="B3608" i="1"/>
  <c r="B10893" i="1"/>
  <c r="B12446" i="1"/>
  <c r="B13069" i="1"/>
  <c r="B430" i="1"/>
  <c r="B1499" i="1"/>
  <c r="B2205" i="1"/>
  <c r="B12222" i="1"/>
  <c r="B13050" i="1"/>
  <c r="B6944" i="1"/>
  <c r="B13103" i="1"/>
  <c r="B20" i="1"/>
  <c r="B12607" i="1"/>
  <c r="B12461" i="1"/>
  <c r="B3155" i="1"/>
  <c r="B11689" i="1"/>
  <c r="B4456" i="1"/>
  <c r="B15724" i="1"/>
  <c r="B3297" i="1"/>
  <c r="B14653" i="1"/>
  <c r="B11456" i="1"/>
  <c r="B43" i="1"/>
  <c r="B1598" i="1"/>
  <c r="B3241" i="1"/>
  <c r="B89" i="1"/>
  <c r="B4430" i="1"/>
  <c r="B4149" i="1"/>
  <c r="B4236" i="1"/>
  <c r="B17975" i="1"/>
  <c r="B11431" i="1"/>
  <c r="B3141" i="1"/>
  <c r="B13518" i="1"/>
  <c r="B12199" i="1"/>
  <c r="B11775" i="1"/>
  <c r="B12189" i="1"/>
  <c r="B13740" i="1"/>
  <c r="B4161" i="1"/>
  <c r="B4952" i="1"/>
  <c r="B4991" i="1"/>
  <c r="B15404" i="1"/>
  <c r="B15744" i="1"/>
  <c r="B6765" i="1"/>
  <c r="B14123" i="1"/>
  <c r="B4975" i="1"/>
  <c r="B12634" i="1"/>
  <c r="B11147" i="1"/>
  <c r="B13797" i="1"/>
  <c r="B13890" i="1"/>
  <c r="B17770" i="1"/>
  <c r="B14008" i="1"/>
  <c r="B10182" i="1"/>
  <c r="B15039" i="1"/>
  <c r="B2232" i="1"/>
  <c r="B4770" i="1"/>
  <c r="B10911" i="1"/>
  <c r="B3925" i="1"/>
  <c r="B1958" i="1"/>
  <c r="B12190" i="1"/>
  <c r="B13623" i="1"/>
  <c r="B4049" i="1"/>
  <c r="B16329" i="1"/>
  <c r="B10672" i="1"/>
  <c r="B6011" i="1"/>
  <c r="B10354" i="1"/>
  <c r="B12149" i="1"/>
  <c r="B10588" i="1"/>
  <c r="B4515" i="1"/>
  <c r="B14282" i="1"/>
  <c r="B13533" i="1"/>
  <c r="B6667" i="1"/>
  <c r="B11374" i="1"/>
  <c r="B12535" i="1"/>
  <c r="B7008" i="1"/>
  <c r="B9859" i="1"/>
  <c r="B7535" i="1"/>
  <c r="B6881" i="1"/>
  <c r="B11343" i="1"/>
  <c r="B11304" i="1"/>
  <c r="B1012" i="1"/>
  <c r="B5010" i="1"/>
  <c r="B6656" i="1"/>
  <c r="B9692" i="1"/>
  <c r="B1965" i="1"/>
  <c r="B5926" i="1"/>
  <c r="B13686" i="1"/>
  <c r="B11114" i="1"/>
  <c r="B6922" i="1"/>
  <c r="B12239" i="1"/>
  <c r="B4546" i="1"/>
  <c r="B7078" i="1"/>
  <c r="B1150" i="1"/>
  <c r="B10860" i="1"/>
  <c r="B4454" i="1"/>
  <c r="B1324" i="1"/>
  <c r="B11681" i="1"/>
  <c r="B2505" i="1"/>
  <c r="B11393" i="1"/>
  <c r="B13715" i="1"/>
  <c r="B1174" i="1"/>
  <c r="B14855" i="1"/>
  <c r="B8309" i="1"/>
  <c r="B2904" i="1"/>
  <c r="B4466" i="1"/>
  <c r="B15359" i="1"/>
  <c r="B431" i="1"/>
  <c r="B3709" i="1"/>
  <c r="B4732" i="1"/>
  <c r="B15138" i="1"/>
  <c r="B1539" i="1"/>
  <c r="B13874" i="1"/>
  <c r="B5815" i="1"/>
  <c r="B11586" i="1"/>
  <c r="B11319" i="1"/>
  <c r="B11591" i="1"/>
  <c r="B11347" i="1"/>
  <c r="B10574" i="1"/>
  <c r="B14435" i="1"/>
  <c r="B7128" i="1"/>
  <c r="B10835" i="1"/>
  <c r="B5856" i="1"/>
  <c r="B14900" i="1"/>
  <c r="B10985" i="1"/>
  <c r="B9938" i="1"/>
  <c r="B8986" i="1"/>
  <c r="B14695" i="1"/>
  <c r="B14696" i="1"/>
  <c r="B12128" i="1"/>
  <c r="B12432" i="1"/>
  <c r="B7714" i="1"/>
  <c r="B706" i="1"/>
  <c r="B11567" i="1"/>
  <c r="B450" i="1"/>
  <c r="B2262" i="1"/>
  <c r="B6849" i="1"/>
  <c r="B4159" i="1"/>
  <c r="B13416" i="1"/>
  <c r="B236" i="1"/>
  <c r="B10266" i="1"/>
  <c r="B1113" i="1"/>
  <c r="B11002" i="1"/>
  <c r="B12704" i="1"/>
  <c r="B6593" i="1"/>
  <c r="B10746" i="1"/>
  <c r="B12669" i="1"/>
  <c r="B2798" i="1"/>
  <c r="B6968" i="1"/>
  <c r="B427" i="1"/>
  <c r="B11452" i="1"/>
  <c r="B773" i="1"/>
  <c r="B7489" i="1"/>
  <c r="B1538" i="1"/>
  <c r="B12808" i="1"/>
  <c r="B15650" i="1"/>
  <c r="B13107" i="1"/>
  <c r="B13469" i="1"/>
  <c r="B14147" i="1"/>
  <c r="B13564" i="1"/>
  <c r="B12098" i="1"/>
  <c r="B4253" i="1"/>
  <c r="B15626" i="1"/>
  <c r="B15586" i="1"/>
  <c r="B3260" i="1"/>
  <c r="B1508" i="1"/>
  <c r="B13444" i="1"/>
  <c r="B3116" i="1"/>
  <c r="B6675" i="1"/>
  <c r="B2182" i="1"/>
  <c r="B4377" i="1"/>
  <c r="B1902" i="1"/>
  <c r="B12495" i="1"/>
  <c r="B12143" i="1"/>
  <c r="B861" i="1"/>
  <c r="B2408" i="1"/>
  <c r="B127" i="1"/>
  <c r="B11474" i="1"/>
  <c r="B8240" i="1"/>
  <c r="B8427" i="1"/>
  <c r="B5089" i="1"/>
  <c r="B7475" i="1"/>
  <c r="B6541" i="1"/>
  <c r="B613" i="1"/>
  <c r="B4704" i="1"/>
  <c r="B11548" i="1"/>
  <c r="B12036" i="1"/>
  <c r="B11867" i="1"/>
  <c r="B11891" i="1"/>
  <c r="B10291" i="1"/>
  <c r="B4604" i="1"/>
  <c r="B5241" i="1"/>
  <c r="B3316" i="1"/>
  <c r="B11815" i="1"/>
  <c r="B12193" i="1"/>
  <c r="B13702" i="1"/>
  <c r="B6947" i="1"/>
  <c r="B11653" i="1"/>
  <c r="B10437" i="1"/>
  <c r="B5029" i="1"/>
  <c r="B4565" i="1"/>
  <c r="B16330" i="1"/>
  <c r="B11845" i="1"/>
  <c r="B15357" i="1"/>
  <c r="B7196" i="1"/>
  <c r="B13522" i="1"/>
  <c r="B2128" i="1"/>
  <c r="B13561" i="1"/>
  <c r="B11155" i="1"/>
  <c r="B14421" i="1"/>
  <c r="B11038" i="1"/>
  <c r="B757" i="1"/>
  <c r="B10332" i="1"/>
  <c r="B12214" i="1"/>
  <c r="B11679" i="1"/>
  <c r="B12844" i="1"/>
  <c r="B12563" i="1"/>
  <c r="B2387" i="1"/>
  <c r="B3363" i="1"/>
  <c r="B15129" i="1"/>
  <c r="B7121" i="1"/>
  <c r="B2113" i="1"/>
  <c r="B6012" i="1"/>
  <c r="B2476" i="1"/>
  <c r="B10793" i="1"/>
  <c r="B11626" i="1"/>
  <c r="B2158" i="1"/>
  <c r="B1133" i="1"/>
  <c r="B5159" i="1"/>
  <c r="B15905" i="1"/>
  <c r="B7693" i="1"/>
  <c r="B15897" i="1"/>
  <c r="B13271" i="1"/>
  <c r="B1664" i="1"/>
  <c r="B3626" i="1"/>
  <c r="B6227" i="1"/>
  <c r="B12289" i="1"/>
  <c r="B5066" i="1"/>
  <c r="B1116" i="1"/>
  <c r="B13825" i="1"/>
  <c r="B13983" i="1"/>
  <c r="B508" i="1"/>
  <c r="B17528" i="1"/>
  <c r="B2984" i="1"/>
  <c r="B1022" i="1"/>
  <c r="B13281" i="1"/>
  <c r="B17937" i="1"/>
  <c r="B8148" i="1"/>
  <c r="B10785" i="1"/>
  <c r="B13247" i="1"/>
  <c r="B17616" i="1"/>
  <c r="B10435" i="1"/>
  <c r="B2721" i="1"/>
  <c r="B2209" i="1"/>
  <c r="B12542" i="1"/>
  <c r="B5009" i="1"/>
  <c r="B1890" i="1"/>
  <c r="B298" i="1"/>
  <c r="B12201" i="1"/>
  <c r="B4606" i="1"/>
  <c r="B3881" i="1"/>
  <c r="B11526" i="1"/>
  <c r="B8202" i="1"/>
  <c r="B13700" i="1"/>
  <c r="B3449" i="1"/>
  <c r="B885" i="1"/>
  <c r="B13029" i="1"/>
  <c r="B10967" i="1"/>
  <c r="B4595" i="1"/>
  <c r="B7004" i="1"/>
  <c r="B10947" i="1"/>
  <c r="B5289" i="1"/>
  <c r="B1322" i="1"/>
  <c r="B3298" i="1"/>
  <c r="B11829" i="1"/>
  <c r="B9895" i="1"/>
  <c r="B3811" i="1"/>
  <c r="B2900" i="1"/>
  <c r="B15985" i="1"/>
  <c r="B4816" i="1"/>
  <c r="B5161" i="1"/>
  <c r="B7767" i="1"/>
  <c r="B6701" i="1"/>
  <c r="B16210" i="1"/>
  <c r="B14106" i="1"/>
  <c r="B4299" i="1"/>
  <c r="B7914" i="1"/>
  <c r="B5927" i="1"/>
  <c r="B8026" i="1"/>
  <c r="B13744" i="1"/>
  <c r="B5160" i="1"/>
  <c r="B12370" i="1"/>
  <c r="B4056" i="1"/>
  <c r="B4008" i="1"/>
  <c r="B7690" i="1"/>
  <c r="B14467" i="1"/>
  <c r="B2932" i="1"/>
  <c r="B15050" i="1"/>
  <c r="B11734" i="1"/>
  <c r="B4023" i="1"/>
  <c r="B11289" i="1"/>
  <c r="B12912" i="1"/>
  <c r="B11969" i="1"/>
  <c r="B7997" i="1"/>
  <c r="B16682" i="1"/>
  <c r="B222" i="1"/>
  <c r="B4988" i="1"/>
  <c r="B11921" i="1"/>
  <c r="B4244" i="1"/>
  <c r="B12614" i="1"/>
  <c r="B2757" i="1"/>
  <c r="B8711" i="1"/>
  <c r="B8872" i="1"/>
  <c r="B13127" i="1"/>
  <c r="B13087" i="1"/>
  <c r="B11435" i="1"/>
  <c r="B10493" i="1"/>
  <c r="B741" i="1"/>
  <c r="B13249" i="1"/>
  <c r="B11361" i="1"/>
  <c r="B3488" i="1"/>
  <c r="B10364" i="1"/>
  <c r="B6781" i="1"/>
  <c r="B14914" i="1"/>
  <c r="B13569" i="1"/>
  <c r="B12654" i="1"/>
  <c r="B13736" i="1"/>
  <c r="B3632" i="1"/>
  <c r="B13450" i="1"/>
  <c r="B14047" i="1"/>
  <c r="B9424" i="1"/>
  <c r="B16778" i="1"/>
  <c r="B2121" i="1"/>
  <c r="B8689" i="1"/>
  <c r="B2079" i="1"/>
  <c r="B10661" i="1"/>
  <c r="B12845" i="1"/>
  <c r="B1611" i="1"/>
  <c r="B1259" i="1"/>
  <c r="B11226" i="1"/>
  <c r="B17217" i="1"/>
  <c r="B3438" i="1"/>
  <c r="B7625" i="1"/>
  <c r="B4073" i="1"/>
  <c r="B12916" i="1"/>
  <c r="B3585" i="1"/>
  <c r="B13565" i="1"/>
  <c r="B9931" i="1"/>
  <c r="B3074" i="1"/>
  <c r="B9927" i="1"/>
  <c r="B4521" i="1"/>
  <c r="B3240" i="1"/>
  <c r="B5440" i="1"/>
  <c r="B14865" i="1"/>
  <c r="B6910" i="1"/>
  <c r="B12443" i="1"/>
  <c r="B11994" i="1"/>
  <c r="B14023" i="1"/>
  <c r="B12450" i="1"/>
  <c r="B16195" i="1"/>
  <c r="B3128" i="1"/>
  <c r="B664" i="1"/>
  <c r="B12019" i="1"/>
  <c r="B8241" i="1"/>
  <c r="B11840" i="1"/>
  <c r="B12769" i="1"/>
  <c r="B12067" i="1"/>
  <c r="B11688" i="1"/>
  <c r="B12092" i="1"/>
  <c r="B7538" i="1"/>
  <c r="B7539" i="1"/>
  <c r="B8510" i="1"/>
  <c r="B5422" i="1"/>
  <c r="B5223" i="1"/>
  <c r="B11138" i="1"/>
  <c r="B9936" i="1"/>
  <c r="B2516" i="1"/>
  <c r="B4420" i="1"/>
  <c r="B15132" i="1"/>
  <c r="B8397" i="1"/>
  <c r="B10571" i="1"/>
  <c r="B12832" i="1"/>
  <c r="B4923" i="1"/>
  <c r="B11337" i="1"/>
  <c r="B13041" i="1"/>
  <c r="B474" i="1"/>
  <c r="B13488" i="1"/>
  <c r="B4481" i="1"/>
  <c r="B4662" i="1"/>
  <c r="B10925" i="1"/>
  <c r="B15996" i="1"/>
  <c r="B11264" i="1"/>
  <c r="B4728" i="1"/>
  <c r="B13097" i="1"/>
  <c r="B5155" i="1"/>
  <c r="B10803" i="1"/>
  <c r="B1984" i="1"/>
  <c r="B6688" i="1"/>
  <c r="B7825" i="1"/>
  <c r="B15114" i="1"/>
  <c r="B4523" i="1"/>
  <c r="B10575" i="1"/>
  <c r="B17581" i="1"/>
  <c r="B2047" i="1"/>
  <c r="B10842" i="1"/>
  <c r="B2894" i="1"/>
  <c r="B597" i="1"/>
  <c r="B3308" i="1"/>
  <c r="B11371" i="1"/>
  <c r="B13554" i="1"/>
  <c r="B15890" i="1"/>
  <c r="B3378" i="1"/>
  <c r="B6689" i="1"/>
  <c r="B6317" i="1"/>
  <c r="B13198" i="1"/>
  <c r="B12000" i="1"/>
  <c r="B1239" i="1"/>
  <c r="B8021" i="1"/>
  <c r="B4334" i="1"/>
  <c r="B2048" i="1"/>
  <c r="B6925" i="1"/>
  <c r="B2165" i="1"/>
  <c r="B3690" i="1"/>
  <c r="B4599" i="1"/>
  <c r="B4616" i="1"/>
  <c r="B13798" i="1"/>
  <c r="B11864" i="1"/>
  <c r="B8697" i="1"/>
  <c r="B5393" i="1"/>
  <c r="B12481" i="1"/>
  <c r="B15410" i="1"/>
  <c r="B13753" i="1"/>
  <c r="B1287" i="1"/>
  <c r="B17659" i="1"/>
  <c r="B16166" i="1"/>
  <c r="B13712" i="1"/>
  <c r="B2552" i="1"/>
  <c r="B4825" i="1"/>
  <c r="B4500" i="1"/>
  <c r="B56" i="1"/>
  <c r="B15182" i="1"/>
  <c r="B486" i="1"/>
  <c r="B5995" i="1"/>
  <c r="B15534" i="1"/>
  <c r="B11695" i="1"/>
  <c r="B3399" i="1"/>
  <c r="B15973" i="1"/>
  <c r="B10391" i="1"/>
  <c r="B3535" i="1"/>
  <c r="B13855" i="1"/>
  <c r="B5468" i="1"/>
  <c r="B2764" i="1"/>
  <c r="B3208" i="1"/>
  <c r="B11013" i="1"/>
  <c r="B15349" i="1"/>
  <c r="B7930" i="1"/>
  <c r="B3212" i="1"/>
  <c r="B13154" i="1"/>
  <c r="B11782" i="1"/>
  <c r="B1926" i="1"/>
  <c r="B14299" i="1"/>
  <c r="B13759" i="1"/>
  <c r="B3723" i="1"/>
  <c r="B15549" i="1"/>
  <c r="B15343" i="1"/>
  <c r="B17897" i="1"/>
  <c r="B2631" i="1"/>
  <c r="B11705" i="1"/>
  <c r="B9484" i="1"/>
  <c r="B12551" i="1"/>
  <c r="B9733" i="1"/>
  <c r="B10310" i="1"/>
  <c r="B9771" i="1"/>
  <c r="B12175" i="1"/>
  <c r="B10553" i="1"/>
  <c r="B8486" i="1"/>
  <c r="B5383" i="1"/>
  <c r="B5421" i="1"/>
  <c r="B12298" i="1"/>
  <c r="B3199" i="1"/>
  <c r="B12613" i="1"/>
  <c r="B9234" i="1"/>
  <c r="B10778" i="1"/>
  <c r="B2971" i="1"/>
  <c r="B10428" i="1"/>
  <c r="B4319" i="1"/>
  <c r="B14593" i="1"/>
  <c r="B8112" i="1"/>
  <c r="B8180" i="1"/>
  <c r="B558" i="1"/>
  <c r="B4819" i="1"/>
  <c r="B3353" i="1"/>
  <c r="B5912" i="1"/>
  <c r="B10032" i="1"/>
  <c r="B15464" i="1"/>
  <c r="B10156" i="1"/>
  <c r="B1738" i="1"/>
  <c r="B5189" i="1"/>
  <c r="B13963" i="1"/>
  <c r="B17838" i="1"/>
  <c r="B11105" i="1"/>
  <c r="B14511" i="1"/>
  <c r="B5402" i="1"/>
  <c r="B12555" i="1"/>
  <c r="B3386" i="1"/>
  <c r="B4168" i="1"/>
  <c r="B13052" i="1"/>
  <c r="B16274" i="1"/>
  <c r="B9890" i="1"/>
  <c r="B11691" i="1"/>
  <c r="B12126" i="1"/>
  <c r="B6927" i="1"/>
  <c r="B3247" i="1"/>
  <c r="B11730" i="1"/>
  <c r="B4630" i="1"/>
  <c r="B11434" i="1"/>
  <c r="B592" i="1"/>
  <c r="B13025" i="1"/>
  <c r="B13768" i="1"/>
  <c r="B892" i="1"/>
  <c r="B6698" i="1"/>
  <c r="B11862" i="1"/>
  <c r="B3329" i="1"/>
  <c r="B206" i="1"/>
  <c r="B7053" i="1"/>
  <c r="B5005" i="1"/>
  <c r="B4355" i="1"/>
  <c r="B1349" i="1"/>
  <c r="B10645" i="1"/>
  <c r="B14455" i="1"/>
  <c r="B10729" i="1"/>
  <c r="B13447" i="1"/>
  <c r="B17729" i="1"/>
  <c r="B13279" i="1"/>
  <c r="B17359" i="1"/>
  <c r="B10838" i="1"/>
  <c r="B11728" i="1"/>
  <c r="B11206" i="1"/>
  <c r="B11726" i="1"/>
  <c r="B8950" i="1"/>
  <c r="B17510" i="1"/>
  <c r="B12748" i="1"/>
  <c r="B6664" i="1"/>
  <c r="B15001" i="1"/>
  <c r="B1645" i="1"/>
  <c r="B8568" i="1"/>
  <c r="B3512" i="1"/>
  <c r="B11803" i="1"/>
  <c r="B14941" i="1"/>
  <c r="B3646" i="1"/>
  <c r="B12182" i="1"/>
  <c r="B3939" i="1"/>
  <c r="B7719" i="1"/>
  <c r="B14853" i="1"/>
  <c r="B1574" i="1"/>
  <c r="B12422" i="1"/>
  <c r="B12606" i="1"/>
  <c r="B3502" i="1"/>
  <c r="B12666" i="1"/>
  <c r="B8493" i="1"/>
  <c r="B3205" i="1"/>
  <c r="B681" i="1"/>
  <c r="B62" i="1"/>
  <c r="B14124" i="1"/>
  <c r="B14086" i="1"/>
  <c r="B11551" i="1"/>
  <c r="B4248" i="1"/>
  <c r="B4328" i="1"/>
  <c r="B12749" i="1"/>
  <c r="B4715" i="1"/>
  <c r="B12831" i="1"/>
  <c r="B2755" i="1"/>
  <c r="B10329" i="1"/>
  <c r="B6736" i="1"/>
  <c r="B5184" i="1"/>
  <c r="B4796" i="1"/>
  <c r="B3081" i="1"/>
  <c r="B2385" i="1"/>
  <c r="B1421" i="1"/>
  <c r="B6907" i="1"/>
  <c r="B4455" i="1"/>
  <c r="B13706" i="1"/>
  <c r="B3216" i="1"/>
  <c r="B6241" i="1"/>
  <c r="B17898" i="1"/>
  <c r="B2951" i="1"/>
  <c r="B5350" i="1"/>
  <c r="B12911" i="1"/>
  <c r="B1195" i="1"/>
  <c r="B6553" i="1"/>
  <c r="B57" i="1"/>
  <c r="B4146" i="1"/>
  <c r="B3034" i="1"/>
  <c r="B4749" i="1"/>
  <c r="B13291" i="1"/>
  <c r="B5169" i="1"/>
  <c r="B1608" i="1"/>
  <c r="B13650" i="1"/>
  <c r="B14065" i="1"/>
  <c r="B16387" i="1"/>
  <c r="B13346" i="1"/>
  <c r="B9518" i="1"/>
  <c r="B3996" i="1"/>
  <c r="B12156" i="1"/>
  <c r="B4238" i="1"/>
  <c r="B4030" i="1"/>
  <c r="B10385" i="1"/>
  <c r="B4289" i="1"/>
  <c r="B6880" i="1"/>
  <c r="B2736" i="1"/>
  <c r="B6573" i="1"/>
  <c r="B4541" i="1"/>
  <c r="B3495" i="1"/>
  <c r="B1457" i="1"/>
  <c r="B14535" i="1"/>
  <c r="B289" i="1"/>
  <c r="B4026" i="1"/>
  <c r="B12276" i="1"/>
  <c r="B6814" i="1"/>
  <c r="B1706" i="1"/>
  <c r="B698" i="1"/>
  <c r="B5509" i="1"/>
  <c r="B4883" i="1"/>
  <c r="B12301" i="1"/>
  <c r="B13213" i="1"/>
  <c r="B13269" i="1"/>
  <c r="B5669" i="1"/>
  <c r="B14814" i="1"/>
  <c r="B12837" i="1"/>
  <c r="B12113" i="1"/>
  <c r="B11655" i="1"/>
  <c r="B11977" i="1"/>
  <c r="B15785" i="1"/>
  <c r="B11910" i="1"/>
  <c r="B13891" i="1"/>
  <c r="B3310" i="1"/>
  <c r="B4471" i="1"/>
  <c r="B8104" i="1"/>
  <c r="B4470" i="1"/>
  <c r="B5158" i="1"/>
  <c r="B4353" i="1"/>
  <c r="B14281" i="1"/>
  <c r="B4363" i="1"/>
  <c r="B5869" i="1"/>
  <c r="B11768" i="1"/>
  <c r="B7096" i="1"/>
  <c r="B10356" i="1"/>
  <c r="B1953" i="1"/>
  <c r="B5037" i="1"/>
  <c r="B5151" i="1"/>
  <c r="B10647" i="1"/>
  <c r="B2238" i="1"/>
  <c r="B4627" i="1"/>
  <c r="B13627" i="1"/>
  <c r="B17902" i="1"/>
  <c r="B3966" i="1"/>
  <c r="B14418" i="1"/>
  <c r="B10405" i="1"/>
  <c r="B13010" i="1"/>
  <c r="B14636" i="1"/>
  <c r="B2850" i="1"/>
  <c r="B3759" i="1"/>
  <c r="B14754" i="1"/>
  <c r="B2707" i="1"/>
  <c r="B4469" i="1"/>
  <c r="B4077" i="1"/>
  <c r="B7331" i="1"/>
  <c r="B16096" i="1"/>
  <c r="B12846" i="1"/>
  <c r="B6992" i="1"/>
  <c r="B7032" i="1"/>
  <c r="B7522" i="1"/>
  <c r="B7273" i="1"/>
  <c r="B7361" i="1"/>
  <c r="B7109" i="1"/>
  <c r="B7301" i="1"/>
  <c r="B1379" i="1"/>
  <c r="B7295" i="1"/>
  <c r="B11378" i="1"/>
  <c r="B12571" i="1"/>
  <c r="B5032" i="1"/>
  <c r="B8082" i="1"/>
  <c r="B7077" i="1"/>
  <c r="B8392" i="1"/>
  <c r="B1987" i="1"/>
  <c r="B6407" i="1"/>
  <c r="B12308" i="1"/>
  <c r="B12271" i="1"/>
  <c r="B12090" i="1"/>
  <c r="B14599" i="1"/>
  <c r="B4372" i="1"/>
  <c r="B2864" i="1"/>
  <c r="B12760" i="1"/>
  <c r="B1186" i="1"/>
  <c r="B12767" i="1"/>
  <c r="B10988" i="1"/>
  <c r="B6377" i="1"/>
  <c r="B14020" i="1"/>
  <c r="B10256" i="1"/>
  <c r="B12663" i="1"/>
  <c r="B14517" i="1"/>
  <c r="B14514" i="1"/>
  <c r="B12935" i="1"/>
  <c r="B7645" i="1"/>
  <c r="B4032" i="1"/>
  <c r="B12484" i="1"/>
  <c r="B11714" i="1"/>
  <c r="B9189" i="1"/>
  <c r="B12881" i="1"/>
  <c r="B11348" i="1"/>
  <c r="B10563" i="1"/>
  <c r="B5336" i="1"/>
  <c r="B14640" i="1"/>
  <c r="B3238" i="1"/>
  <c r="B11125" i="1"/>
  <c r="B190" i="1"/>
  <c r="B2662" i="1"/>
  <c r="B10334" i="1"/>
  <c r="B17738" i="1"/>
  <c r="B14537" i="1"/>
  <c r="B4710" i="1"/>
  <c r="B4433" i="1"/>
  <c r="B1713" i="1"/>
  <c r="B10667" i="1"/>
  <c r="B5150" i="1"/>
  <c r="B8574" i="1"/>
  <c r="B3612" i="1"/>
  <c r="B2773" i="1"/>
  <c r="B15823" i="1"/>
  <c r="B1342" i="1"/>
  <c r="B3722" i="1"/>
  <c r="B10318" i="1"/>
  <c r="B11900" i="1"/>
  <c r="B11077" i="1"/>
  <c r="B4357" i="1"/>
  <c r="B11544" i="1"/>
  <c r="B12109" i="1"/>
  <c r="B12610" i="1"/>
  <c r="B14551" i="1"/>
  <c r="B6651" i="1"/>
  <c r="B7359" i="1"/>
  <c r="B3739" i="1"/>
  <c r="B4232" i="1"/>
  <c r="B3453" i="1"/>
  <c r="B7303" i="1"/>
  <c r="B3388" i="1"/>
  <c r="B5497" i="1"/>
  <c r="B15837" i="1"/>
  <c r="B5452" i="1"/>
  <c r="B13885" i="1"/>
  <c r="B4799" i="1"/>
  <c r="B1547" i="1"/>
  <c r="B11037" i="1"/>
  <c r="B691" i="1"/>
  <c r="B9292" i="1"/>
  <c r="B125" i="1"/>
  <c r="B3576" i="1"/>
  <c r="B5095" i="1"/>
  <c r="B6841" i="1"/>
  <c r="B14571" i="1"/>
  <c r="B12202" i="1"/>
  <c r="B3799" i="1"/>
  <c r="B16805" i="1"/>
  <c r="B4853" i="1"/>
  <c r="B5857" i="1"/>
  <c r="B13511" i="1"/>
  <c r="B3038" i="1"/>
  <c r="B12623" i="1"/>
  <c r="B12158" i="1"/>
  <c r="B17728" i="1"/>
  <c r="B14477" i="1"/>
  <c r="B11582" i="1"/>
  <c r="B12460" i="1"/>
  <c r="B8028" i="1"/>
  <c r="B12932" i="1"/>
  <c r="B905" i="1"/>
  <c r="B14312" i="1"/>
  <c r="B10528" i="1"/>
  <c r="B3650" i="1"/>
  <c r="B13310" i="1"/>
  <c r="B12312" i="1"/>
  <c r="B10347" i="1"/>
  <c r="B9459" i="1"/>
  <c r="B425" i="1"/>
  <c r="B4901" i="1"/>
  <c r="B3496" i="1"/>
  <c r="B10531" i="1"/>
  <c r="B5363" i="1"/>
  <c r="B10311" i="1"/>
  <c r="B10939" i="1"/>
  <c r="B14554" i="1"/>
  <c r="B11992" i="1"/>
  <c r="B6793" i="1"/>
  <c r="B4693" i="1"/>
  <c r="B15930" i="1"/>
  <c r="B11701" i="1"/>
  <c r="B4136" i="1"/>
  <c r="B12305" i="1"/>
  <c r="B12930" i="1"/>
  <c r="B12469" i="1"/>
  <c r="B13621" i="1"/>
  <c r="B13109" i="1"/>
  <c r="B2784" i="1"/>
  <c r="B4183" i="1"/>
  <c r="B7782" i="1"/>
  <c r="B3462" i="1"/>
  <c r="B16214" i="1"/>
  <c r="B4657" i="1"/>
  <c r="B11614" i="1"/>
  <c r="B3136" i="1"/>
  <c r="B2676" i="1"/>
  <c r="B175" i="1"/>
  <c r="B12458" i="1"/>
  <c r="B1125" i="1"/>
  <c r="B13509" i="1"/>
  <c r="B4362" i="1"/>
  <c r="B4074" i="1"/>
  <c r="B4880" i="1"/>
  <c r="B3614" i="1"/>
  <c r="B11340" i="1"/>
  <c r="B4806" i="1"/>
  <c r="B12283" i="1"/>
  <c r="B8436" i="1"/>
  <c r="B8333" i="1"/>
  <c r="B6576" i="1"/>
  <c r="B15753" i="1"/>
  <c r="B12010" i="1"/>
  <c r="B11499" i="1"/>
  <c r="B10691" i="1"/>
  <c r="B5033" i="1"/>
  <c r="B7596" i="1"/>
  <c r="B11971" i="1"/>
  <c r="B11293" i="1"/>
  <c r="B3104" i="1"/>
  <c r="B16762" i="1"/>
  <c r="B932" i="1"/>
  <c r="B4315" i="1"/>
  <c r="B3281" i="1"/>
  <c r="B10623" i="1"/>
  <c r="B6428" i="1"/>
  <c r="B10350" i="1"/>
  <c r="B16942" i="1"/>
  <c r="B2456" i="1"/>
  <c r="B12540" i="1"/>
  <c r="B6644" i="1"/>
  <c r="B16496" i="1"/>
  <c r="B4105" i="1"/>
  <c r="B12391" i="1"/>
  <c r="B3793" i="1"/>
  <c r="B10558" i="1"/>
  <c r="B10579" i="1"/>
  <c r="B3417" i="1"/>
  <c r="B4649" i="1"/>
  <c r="B2853" i="1"/>
  <c r="B4486" i="1"/>
  <c r="B11781" i="1"/>
  <c r="B1728" i="1"/>
  <c r="B5199" i="1"/>
  <c r="B13480" i="1"/>
  <c r="B438" i="1"/>
  <c r="B13079" i="1"/>
  <c r="B9205" i="1"/>
  <c r="B1525" i="1"/>
  <c r="B15163" i="1"/>
  <c r="B2512" i="1"/>
  <c r="B2329" i="1"/>
  <c r="B12691" i="1"/>
  <c r="B12730" i="1"/>
  <c r="B4088" i="1"/>
  <c r="B4215" i="1"/>
  <c r="B10402" i="1"/>
  <c r="B5994" i="1"/>
  <c r="B2654" i="1"/>
  <c r="B7855" i="1"/>
  <c r="B8307" i="1"/>
  <c r="B2911" i="1"/>
  <c r="B660" i="1"/>
  <c r="B924" i="1"/>
  <c r="B4540" i="1"/>
  <c r="B2068" i="1"/>
  <c r="B2490" i="1"/>
  <c r="B2404" i="1"/>
  <c r="B658" i="1"/>
  <c r="B5588" i="1"/>
  <c r="B6562" i="1"/>
  <c r="B6070" i="1"/>
  <c r="B7418" i="1"/>
  <c r="B6049" i="1"/>
  <c r="B7336" i="1"/>
  <c r="B11633" i="1"/>
  <c r="B12021" i="1"/>
  <c r="B11527" i="1"/>
  <c r="B15794" i="1"/>
  <c r="B560" i="1"/>
  <c r="B10069" i="1"/>
  <c r="B7514" i="1"/>
  <c r="B13787" i="1"/>
  <c r="B15072" i="1"/>
  <c r="B840" i="1"/>
  <c r="B12393" i="1"/>
  <c r="B762" i="1"/>
  <c r="B14286" i="1"/>
  <c r="B14428" i="1"/>
  <c r="B63" i="1"/>
  <c r="B13074" i="1"/>
  <c r="B5045" i="1"/>
  <c r="B13104" i="1"/>
  <c r="B10687" i="1"/>
  <c r="B12858" i="1"/>
  <c r="B16515" i="1"/>
  <c r="B10487" i="1"/>
  <c r="B10461" i="1"/>
  <c r="B9193" i="1"/>
  <c r="B523" i="1"/>
  <c r="B1791" i="1"/>
  <c r="B11405" i="1"/>
  <c r="B16183" i="1"/>
  <c r="B13368" i="1"/>
  <c r="B5135" i="1"/>
  <c r="B11748" i="1"/>
  <c r="B11189" i="1"/>
  <c r="B115" i="1"/>
  <c r="B9703" i="1"/>
  <c r="B13366" i="1"/>
  <c r="B5635" i="1"/>
  <c r="B5634" i="1"/>
  <c r="B15183" i="1"/>
  <c r="B17150" i="1"/>
  <c r="B10520" i="1"/>
  <c r="B15223" i="1"/>
  <c r="B13307" i="1"/>
  <c r="B1142" i="1"/>
  <c r="B11005" i="1"/>
  <c r="B13918" i="1"/>
  <c r="B12394" i="1"/>
  <c r="B14693" i="1"/>
  <c r="B12879" i="1"/>
  <c r="B12417" i="1"/>
  <c r="B11052" i="1"/>
  <c r="B14533" i="1"/>
  <c r="B14419" i="1"/>
  <c r="B12807" i="1"/>
  <c r="B4768" i="1"/>
  <c r="B10294" i="1"/>
  <c r="B11240" i="1"/>
  <c r="B7035" i="1"/>
  <c r="B13747" i="1"/>
  <c r="B5224" i="1"/>
  <c r="B4536" i="1"/>
  <c r="B8435" i="1"/>
  <c r="B5377" i="1"/>
  <c r="B10190" i="1"/>
  <c r="B14526" i="1"/>
  <c r="B14726" i="1"/>
  <c r="B3040" i="1"/>
  <c r="B15977" i="1"/>
  <c r="B1917" i="1"/>
  <c r="B15053" i="1"/>
  <c r="B9796" i="1"/>
  <c r="B14394" i="1"/>
  <c r="B7732" i="1"/>
  <c r="B2214" i="1"/>
  <c r="B13739" i="1"/>
  <c r="B1973" i="1"/>
  <c r="B10862" i="1"/>
  <c r="B13873" i="1"/>
  <c r="B14074" i="1"/>
  <c r="B10216" i="1"/>
  <c r="B9767" i="1"/>
  <c r="B7238" i="1"/>
  <c r="B8582" i="1"/>
  <c r="B11566" i="1"/>
  <c r="B12248" i="1"/>
  <c r="B7155" i="1"/>
  <c r="B12939" i="1"/>
  <c r="B9432" i="1"/>
  <c r="B8940" i="1"/>
  <c r="B11646" i="1"/>
  <c r="B8621" i="1"/>
  <c r="B3948" i="1"/>
  <c r="B8573" i="1"/>
  <c r="B10546" i="1"/>
  <c r="B2280" i="1"/>
  <c r="B8152" i="1"/>
  <c r="B2052" i="1"/>
  <c r="B12395" i="1"/>
  <c r="B14676" i="1"/>
  <c r="B10091" i="1"/>
  <c r="B10301" i="1"/>
  <c r="B11404" i="1"/>
  <c r="B4437" i="1"/>
  <c r="B7879" i="1"/>
  <c r="B8965" i="1"/>
  <c r="B4263" i="1"/>
  <c r="B7935" i="1"/>
  <c r="B3662" i="1"/>
  <c r="B8375" i="1"/>
  <c r="B1526" i="1"/>
  <c r="B8460" i="1"/>
  <c r="B13374" i="1"/>
  <c r="B7786" i="1"/>
  <c r="B11246" i="1"/>
  <c r="B12132" i="1"/>
  <c r="B12383" i="1"/>
  <c r="B11322" i="1"/>
  <c r="B17979" i="1"/>
  <c r="B4758" i="1"/>
  <c r="B4291" i="1"/>
  <c r="B3664" i="1"/>
  <c r="B5925" i="1"/>
  <c r="B12296" i="1"/>
  <c r="B13946" i="1"/>
  <c r="B7066" i="1"/>
  <c r="B15660" i="1"/>
  <c r="B10229" i="1"/>
  <c r="B13257" i="1"/>
  <c r="B14084" i="1"/>
  <c r="B1930" i="1"/>
  <c r="B8612" i="1"/>
  <c r="B15415" i="1"/>
  <c r="B8157" i="1"/>
  <c r="B9908" i="1"/>
  <c r="B9820" i="1"/>
  <c r="B9554" i="1"/>
  <c r="B3559" i="1"/>
  <c r="B14027" i="1"/>
  <c r="B17909" i="1"/>
  <c r="B8437" i="1"/>
  <c r="B13431" i="1"/>
  <c r="B7074" i="1"/>
  <c r="B7014" i="1"/>
  <c r="B13542" i="1"/>
  <c r="B13916" i="1"/>
  <c r="B16038" i="1"/>
  <c r="B9045" i="1"/>
  <c r="B14691" i="1"/>
  <c r="B1939" i="1"/>
  <c r="B11281" i="1"/>
  <c r="B7419" i="1"/>
  <c r="B642" i="1"/>
  <c r="B13454" i="1"/>
  <c r="B9773" i="1"/>
  <c r="B11421" i="1"/>
  <c r="B1735" i="1"/>
  <c r="B4330" i="1"/>
  <c r="B1424" i="1"/>
  <c r="B11918" i="1"/>
  <c r="B14064" i="1"/>
  <c r="B4602" i="1"/>
  <c r="B14586" i="1"/>
  <c r="B5397" i="1"/>
  <c r="B13761" i="1"/>
  <c r="B1886" i="1"/>
  <c r="B2815" i="1"/>
  <c r="B7223" i="1"/>
  <c r="B7225" i="1"/>
  <c r="B7585" i="1"/>
  <c r="B7284" i="1"/>
  <c r="B7328" i="1"/>
  <c r="B6519" i="1"/>
  <c r="B6290" i="1"/>
  <c r="B3235" i="1"/>
  <c r="B286" i="1"/>
  <c r="B7507" i="1"/>
  <c r="B7354" i="1"/>
  <c r="B7467" i="1"/>
  <c r="B7267" i="1"/>
  <c r="B7472" i="1"/>
  <c r="B14974" i="1"/>
  <c r="B12739" i="1"/>
  <c r="B13497" i="1"/>
  <c r="B15544" i="1"/>
  <c r="B3548" i="1"/>
  <c r="B8185" i="1"/>
  <c r="B15764" i="1"/>
  <c r="B13437" i="1"/>
  <c r="B4135" i="1"/>
  <c r="B12702" i="1"/>
  <c r="B11511" i="1"/>
  <c r="B9463" i="1"/>
  <c r="B6705" i="1"/>
  <c r="B6398" i="1"/>
  <c r="B12876" i="1"/>
  <c r="B16391" i="1"/>
  <c r="B4520" i="1"/>
  <c r="B15075" i="1"/>
  <c r="B457" i="1"/>
  <c r="B6100" i="1"/>
  <c r="B6143" i="1"/>
  <c r="B12596" i="1"/>
  <c r="B14267" i="1"/>
  <c r="B12538" i="1"/>
  <c r="B13988" i="1"/>
  <c r="B15374" i="1"/>
  <c r="B11383" i="1"/>
  <c r="B7364" i="1"/>
  <c r="B4747" i="1"/>
  <c r="B1991" i="1"/>
  <c r="B8059" i="1"/>
  <c r="B2064" i="1"/>
  <c r="B8281" i="1"/>
  <c r="B2706" i="1"/>
  <c r="B8882" i="1"/>
  <c r="B4746" i="1"/>
  <c r="B11805" i="1"/>
  <c r="B10714" i="1"/>
  <c r="B12954" i="1"/>
  <c r="B3649" i="1"/>
  <c r="B14493" i="1"/>
  <c r="B2289" i="1"/>
  <c r="B2374" i="1"/>
  <c r="B1894" i="1"/>
  <c r="B7630" i="1"/>
  <c r="B10087" i="1"/>
  <c r="B1808" i="1"/>
  <c r="B15882" i="1"/>
  <c r="B6590" i="1"/>
  <c r="B10890" i="1"/>
  <c r="B13160" i="1"/>
  <c r="B5180" i="1"/>
  <c r="B14480" i="1"/>
  <c r="B14815" i="1"/>
  <c r="B11794" i="1"/>
  <c r="B10859" i="1"/>
  <c r="B16114" i="1"/>
  <c r="B11630" i="1"/>
  <c r="B8724" i="1"/>
  <c r="B10271" i="1"/>
  <c r="B11947" i="1"/>
  <c r="B13105" i="1"/>
  <c r="B8970" i="1"/>
  <c r="B3729" i="1"/>
  <c r="B12032" i="1"/>
  <c r="B4300" i="1"/>
  <c r="B12977" i="1"/>
  <c r="B3865" i="1"/>
  <c r="B10994" i="1"/>
  <c r="B12401" i="1"/>
  <c r="B14766" i="1"/>
  <c r="B14443" i="1"/>
  <c r="B4240" i="1"/>
  <c r="B4502" i="1"/>
  <c r="B12333" i="1"/>
  <c r="B7897" i="1"/>
  <c r="B11764" i="1"/>
  <c r="B7925" i="1"/>
  <c r="B8044" i="1"/>
  <c r="B7717" i="1"/>
  <c r="B6448" i="1"/>
  <c r="B25" i="1"/>
  <c r="B12337" i="1"/>
  <c r="B10775" i="1"/>
  <c r="B7102" i="1"/>
  <c r="B13005" i="1"/>
  <c r="B12262" i="1"/>
  <c r="B8535" i="1"/>
  <c r="B1940" i="1"/>
  <c r="B15014" i="1"/>
  <c r="B11163" i="1"/>
  <c r="B14752" i="1"/>
  <c r="B874" i="1"/>
  <c r="B7376" i="1"/>
  <c r="B10355" i="1"/>
  <c r="B403" i="1"/>
  <c r="B407" i="1"/>
  <c r="B2058" i="1"/>
  <c r="B6105" i="1"/>
  <c r="B6726" i="1"/>
  <c r="B11126" i="1"/>
  <c r="B12154" i="1"/>
  <c r="B4271" i="1"/>
  <c r="B2233" i="1"/>
  <c r="B1990" i="1"/>
  <c r="B5416" i="1"/>
  <c r="B7369" i="1"/>
  <c r="B4440" i="1"/>
  <c r="B13102" i="1"/>
  <c r="B3201" i="1"/>
  <c r="B2611" i="1"/>
  <c r="B2791" i="1"/>
  <c r="B2134" i="1"/>
  <c r="B4025" i="1"/>
  <c r="B15991" i="1"/>
  <c r="B4438" i="1"/>
  <c r="B10530" i="1"/>
  <c r="B5646" i="1"/>
  <c r="B5690" i="1"/>
  <c r="B5645" i="1"/>
  <c r="B8321" i="1"/>
  <c r="B12261" i="1"/>
  <c r="B11546" i="1"/>
  <c r="B869" i="1"/>
  <c r="B15079" i="1"/>
  <c r="B13673" i="1"/>
  <c r="B10281" i="1"/>
  <c r="B4994" i="1"/>
  <c r="B3801" i="1"/>
  <c r="B13040" i="1"/>
  <c r="B7088" i="1"/>
  <c r="B8014" i="1"/>
  <c r="B8903" i="1"/>
  <c r="B3700" i="1"/>
  <c r="B10752" i="1"/>
  <c r="B11707" i="1"/>
  <c r="B7296" i="1"/>
  <c r="B12523" i="1"/>
  <c r="B13667" i="1"/>
  <c r="B11057" i="1"/>
  <c r="B10737" i="1"/>
  <c r="B9876" i="1"/>
  <c r="B1714" i="1"/>
  <c r="B5088" i="1"/>
  <c r="B2265" i="1"/>
  <c r="B9149" i="1"/>
  <c r="B11362" i="1"/>
  <c r="B7052" i="1"/>
  <c r="B4255" i="1"/>
  <c r="B10299" i="1"/>
  <c r="B42" i="1"/>
  <c r="B14788" i="1"/>
  <c r="B2258" i="1"/>
  <c r="B5346" i="1"/>
  <c r="B12257" i="1"/>
  <c r="B6028" i="1"/>
  <c r="B12865" i="1"/>
  <c r="B12340" i="1"/>
  <c r="B11804" i="1"/>
  <c r="B2089" i="1"/>
  <c r="B6799" i="1"/>
  <c r="B12489" i="1"/>
  <c r="B9350" i="1"/>
  <c r="B12828" i="1"/>
  <c r="B2692" i="1"/>
  <c r="B10372" i="1"/>
  <c r="B12671" i="1"/>
  <c r="B13582" i="1"/>
  <c r="B2942" i="1"/>
  <c r="B7774" i="1"/>
  <c r="B3991" i="1"/>
  <c r="B1152" i="1"/>
  <c r="B3656" i="1"/>
  <c r="B13537" i="1"/>
  <c r="B12410" i="1"/>
  <c r="B10342" i="1"/>
  <c r="B12326" i="1"/>
  <c r="B14610" i="1"/>
  <c r="B3336" i="1"/>
  <c r="B4239" i="1"/>
  <c r="B4670" i="1"/>
  <c r="B11059" i="1"/>
  <c r="B11957" i="1"/>
  <c r="B326" i="1"/>
  <c r="B6990" i="1"/>
  <c r="B5823" i="1"/>
  <c r="B11933" i="1"/>
  <c r="B5605" i="1"/>
  <c r="B5850" i="1"/>
  <c r="B5612" i="1"/>
  <c r="B5842" i="1"/>
  <c r="B4524" i="1"/>
  <c r="B888" i="1"/>
  <c r="B1599" i="1"/>
  <c r="B5333" i="1"/>
  <c r="B11286" i="1"/>
  <c r="B16324" i="1"/>
  <c r="B7163" i="1"/>
  <c r="B8508" i="1"/>
  <c r="B7576" i="1"/>
  <c r="B6243" i="1"/>
  <c r="B17953" i="1"/>
  <c r="B14473" i="1"/>
  <c r="B1236" i="1"/>
  <c r="B10419" i="1"/>
  <c r="B4788" i="1"/>
  <c r="B2660" i="1"/>
  <c r="B15796" i="1"/>
  <c r="B12324" i="1"/>
  <c r="B16071" i="1"/>
  <c r="B893" i="1"/>
  <c r="B14721" i="1"/>
  <c r="B2057" i="1"/>
  <c r="B4475" i="1"/>
  <c r="B7684" i="1"/>
  <c r="B14070" i="1"/>
  <c r="B13118" i="1"/>
  <c r="B2739" i="1"/>
  <c r="B13230" i="1"/>
  <c r="B12661" i="1"/>
  <c r="B2916" i="1"/>
  <c r="B1918" i="1"/>
  <c r="B11928" i="1"/>
  <c r="B4259" i="1"/>
  <c r="B7587" i="1"/>
  <c r="B11136" i="1"/>
  <c r="B10615" i="1"/>
  <c r="B12266" i="1"/>
  <c r="B11448" i="1"/>
  <c r="B12483" i="1"/>
  <c r="B12064" i="1"/>
  <c r="B9622" i="1"/>
  <c r="B6524" i="1"/>
  <c r="B6446" i="1"/>
  <c r="B6306" i="1"/>
  <c r="B16138" i="1"/>
  <c r="B4187" i="1"/>
  <c r="B6151" i="1"/>
  <c r="B14629" i="1"/>
  <c r="B2990" i="1"/>
  <c r="B14582" i="1"/>
  <c r="B13938" i="1"/>
  <c r="B13949" i="1"/>
  <c r="B12686" i="1"/>
  <c r="B6600" i="1"/>
  <c r="B3485" i="1"/>
  <c r="B11066" i="1"/>
  <c r="B3756" i="1"/>
  <c r="B12987" i="1"/>
  <c r="B1732" i="1"/>
  <c r="B2644" i="1"/>
  <c r="B15390" i="1"/>
  <c r="B4977" i="1"/>
  <c r="B1998" i="1"/>
  <c r="B2840" i="1"/>
  <c r="B12499" i="1"/>
  <c r="B11484" i="1"/>
  <c r="B4186" i="1"/>
  <c r="B7442" i="1"/>
  <c r="B4416" i="1"/>
  <c r="B1667" i="1"/>
  <c r="B8217" i="1"/>
  <c r="B7494" i="1"/>
  <c r="B7499" i="1"/>
  <c r="B7497" i="1"/>
  <c r="B8296" i="1"/>
  <c r="B8173" i="1"/>
  <c r="B15326" i="1"/>
  <c r="B7496" i="1"/>
  <c r="B8298" i="1"/>
  <c r="B7498" i="1"/>
  <c r="B1206" i="1"/>
  <c r="B9022" i="1"/>
  <c r="B14463" i="1"/>
  <c r="B13099" i="1"/>
  <c r="B12381" i="1"/>
  <c r="B1739" i="1"/>
  <c r="B2624" i="1"/>
  <c r="B2822" i="1"/>
  <c r="B8382" i="1"/>
  <c r="B12135" i="1"/>
  <c r="B13892" i="1"/>
  <c r="B11422" i="1"/>
  <c r="B9588" i="1"/>
  <c r="B11533" i="1"/>
  <c r="B10400" i="1"/>
  <c r="B2625" i="1"/>
  <c r="B2626" i="1"/>
  <c r="B10440" i="1"/>
  <c r="B7212" i="1"/>
  <c r="B7211" i="1"/>
  <c r="B12999" i="1"/>
  <c r="B3930" i="1"/>
  <c r="B16405" i="1"/>
  <c r="B14858" i="1"/>
  <c r="B3352" i="1"/>
  <c r="B5342" i="1"/>
  <c r="B3002" i="1"/>
  <c r="B14915" i="1"/>
  <c r="B15119" i="1"/>
  <c r="B2221" i="1"/>
  <c r="B12976" i="1"/>
  <c r="B9896" i="1"/>
  <c r="B14611" i="1"/>
  <c r="B4268" i="1"/>
  <c r="B11783" i="1"/>
  <c r="B7287" i="1"/>
  <c r="B37" i="1"/>
  <c r="B17254" i="1"/>
  <c r="B9074" i="1"/>
  <c r="B12163" i="1"/>
  <c r="B13143" i="1"/>
  <c r="B12425" i="1"/>
  <c r="B901" i="1"/>
  <c r="B12945" i="1"/>
  <c r="B6514" i="1"/>
  <c r="B3503" i="1"/>
  <c r="B11181" i="1"/>
  <c r="B7689" i="1"/>
  <c r="B10404" i="1"/>
  <c r="B9598" i="1"/>
  <c r="B1944" i="1"/>
  <c r="B8292" i="1"/>
  <c r="B1502" i="1"/>
  <c r="B439" i="1"/>
  <c r="B4397" i="1"/>
  <c r="B10489" i="1"/>
  <c r="B11903" i="1"/>
  <c r="B8029" i="1"/>
  <c r="B7479" i="1"/>
  <c r="B11899" i="1"/>
  <c r="B481" i="1"/>
  <c r="B1615" i="1"/>
  <c r="B6344" i="1"/>
  <c r="B8172" i="1"/>
  <c r="B11779" i="1"/>
  <c r="B12406" i="1"/>
  <c r="B2530" i="1"/>
  <c r="B11118" i="1"/>
  <c r="B7468" i="1"/>
  <c r="B5079" i="1"/>
  <c r="B5110" i="1"/>
  <c r="B5183" i="1"/>
  <c r="B1013" i="1"/>
  <c r="B12310" i="1"/>
  <c r="B16064" i="1"/>
  <c r="B369" i="1"/>
  <c r="B10792" i="1"/>
  <c r="B1867" i="1"/>
  <c r="B2669" i="1"/>
  <c r="B12130" i="1"/>
  <c r="B8931" i="1"/>
  <c r="B14580" i="1"/>
  <c r="B5104" i="1"/>
  <c r="B981" i="1"/>
  <c r="B14119" i="1"/>
  <c r="B10930" i="1"/>
  <c r="B6759" i="1"/>
  <c r="B10397" i="1"/>
  <c r="B5347" i="1"/>
  <c r="B4036" i="1"/>
  <c r="B14137" i="1"/>
  <c r="B13147" i="1"/>
  <c r="B16140" i="1"/>
  <c r="B12438" i="1"/>
  <c r="B1682" i="1"/>
  <c r="B7256" i="1"/>
  <c r="B7217" i="1"/>
  <c r="B12821" i="1"/>
  <c r="B5687" i="1"/>
  <c r="B753" i="1"/>
  <c r="B7039" i="1"/>
  <c r="B1431" i="1"/>
  <c r="B15102" i="1"/>
  <c r="B17676" i="1"/>
  <c r="B10258" i="1"/>
  <c r="B3718" i="1"/>
  <c r="B19" i="1"/>
  <c r="B4872" i="1"/>
  <c r="B12108" i="1"/>
  <c r="B17709" i="1"/>
  <c r="B11514" i="1"/>
  <c r="B1592" i="1"/>
  <c r="B2054" i="1"/>
  <c r="B14552" i="1"/>
  <c r="B1614" i="1"/>
  <c r="B14138" i="1"/>
  <c r="B13751" i="1"/>
  <c r="B10077" i="1"/>
  <c r="B5195" i="1"/>
  <c r="B16004" i="1"/>
  <c r="B16882" i="1"/>
  <c r="B13734" i="1"/>
  <c r="B10466" i="1"/>
  <c r="B13731" i="1"/>
  <c r="B11532" i="1"/>
  <c r="B13413" i="1"/>
  <c r="B14327" i="1"/>
  <c r="B5070" i="1"/>
  <c r="B6710" i="1"/>
  <c r="B3371" i="1"/>
  <c r="B7682" i="1"/>
  <c r="B10205" i="1"/>
  <c r="B8119" i="1"/>
  <c r="B2873" i="1"/>
  <c r="B4633" i="1"/>
  <c r="B15122" i="1"/>
  <c r="B8353" i="1"/>
  <c r="B4369" i="1"/>
  <c r="B1968" i="1"/>
  <c r="B13816" i="1"/>
  <c r="B15082" i="1"/>
  <c r="B12173" i="1"/>
  <c r="B13494" i="1"/>
  <c r="B11510" i="1"/>
  <c r="B12486" i="1"/>
  <c r="B2678" i="1"/>
  <c r="B11083" i="1"/>
  <c r="B3567" i="1"/>
  <c r="B846" i="1"/>
  <c r="B2600" i="1"/>
  <c r="B612" i="1"/>
  <c r="B5345" i="1"/>
  <c r="B5783" i="1"/>
  <c r="B5749" i="1"/>
  <c r="B5512" i="1"/>
  <c r="B8193" i="1"/>
  <c r="B6001" i="1"/>
  <c r="B5922" i="1"/>
  <c r="B13796" i="1"/>
  <c r="B11365" i="1"/>
  <c r="B7532" i="1"/>
  <c r="B6648" i="1"/>
  <c r="B13593" i="1"/>
  <c r="B8908" i="1"/>
  <c r="B6119" i="1"/>
  <c r="B16755" i="1"/>
  <c r="B2882" i="1"/>
  <c r="B2981" i="1"/>
  <c r="B3054" i="1"/>
  <c r="B14794" i="1"/>
  <c r="B7708" i="1"/>
  <c r="B13580" i="1"/>
  <c r="B3879" i="1"/>
  <c r="B4514" i="1"/>
  <c r="B11021" i="1"/>
  <c r="B11280" i="1"/>
  <c r="B10242" i="1"/>
  <c r="B9423" i="1"/>
  <c r="B4110" i="1"/>
  <c r="B3346" i="1"/>
  <c r="B13584" i="1"/>
  <c r="B16279" i="1"/>
  <c r="B13895" i="1"/>
  <c r="B13195" i="1"/>
  <c r="B7668" i="1"/>
  <c r="B7834" i="1"/>
  <c r="B11696" i="1"/>
  <c r="B3550" i="1"/>
  <c r="B8713" i="1"/>
  <c r="B2969" i="1"/>
  <c r="B17311" i="1"/>
  <c r="B5728" i="1"/>
  <c r="B16732" i="1"/>
  <c r="B7838" i="1"/>
  <c r="B10444" i="1"/>
  <c r="B4684" i="1"/>
  <c r="B12937" i="1"/>
  <c r="B7671" i="1"/>
  <c r="B3053" i="1"/>
  <c r="B6963" i="1"/>
  <c r="B3359" i="1"/>
  <c r="B14508" i="1"/>
  <c r="B11537" i="1"/>
  <c r="B3483" i="1"/>
  <c r="B12941" i="1"/>
  <c r="B10222" i="1"/>
  <c r="B2718" i="1"/>
  <c r="B9187" i="1"/>
  <c r="B12742" i="1"/>
  <c r="B6085" i="1"/>
  <c r="B11204" i="1"/>
  <c r="B2440" i="1"/>
  <c r="B4241" i="1"/>
  <c r="B4620" i="1"/>
  <c r="B2623" i="1"/>
  <c r="B13516" i="1"/>
  <c r="B10449" i="1"/>
  <c r="B6602" i="1"/>
  <c r="B2847" i="1"/>
  <c r="B1814" i="1"/>
  <c r="B7777" i="1"/>
  <c r="B13253" i="1"/>
  <c r="B6416" i="1"/>
  <c r="B1033" i="1"/>
  <c r="B4111" i="1"/>
  <c r="B1588" i="1"/>
  <c r="B8324" i="1"/>
  <c r="B8103" i="1"/>
  <c r="B10715" i="1"/>
  <c r="B7998" i="1"/>
  <c r="B10880" i="1"/>
  <c r="B4171" i="1"/>
  <c r="B17377" i="1"/>
  <c r="B4801" i="1"/>
  <c r="B8928" i="1"/>
  <c r="B8778" i="1"/>
  <c r="B11177" i="1"/>
  <c r="B10787" i="1"/>
  <c r="B11437" i="1"/>
  <c r="B15533" i="1"/>
  <c r="B4690" i="1"/>
  <c r="B12449" i="1"/>
  <c r="B3076" i="1"/>
  <c r="B15714" i="1"/>
  <c r="B17949" i="1"/>
  <c r="B8836" i="1"/>
  <c r="B3301" i="1"/>
  <c r="B3418" i="1"/>
  <c r="B10457" i="1"/>
  <c r="B4832" i="1"/>
  <c r="B13232" i="1"/>
  <c r="B3055" i="1"/>
  <c r="B2236" i="1"/>
  <c r="B542" i="1"/>
  <c r="B10917" i="1"/>
  <c r="B8744" i="1"/>
  <c r="B1969" i="1"/>
  <c r="B3660" i="1"/>
  <c r="B15979" i="1"/>
  <c r="B6638" i="1"/>
  <c r="B10955" i="1"/>
  <c r="B2211" i="1"/>
  <c r="B14558" i="1"/>
  <c r="B12957" i="1"/>
  <c r="B3395" i="1"/>
  <c r="B2533" i="1"/>
  <c r="B11085" i="1"/>
  <c r="B12345" i="1"/>
  <c r="B10319" i="1"/>
  <c r="B7614" i="1"/>
  <c r="B4870" i="1"/>
  <c r="B13587" i="1"/>
  <c r="B2635" i="1"/>
  <c r="B2353" i="1"/>
  <c r="B12133" i="1"/>
  <c r="B7924" i="1"/>
  <c r="B605" i="1"/>
  <c r="B2810" i="1"/>
  <c r="B3689" i="1"/>
  <c r="B3878" i="1"/>
  <c r="B2358" i="1"/>
  <c r="B14325" i="1"/>
  <c r="B9893" i="1"/>
  <c r="B6319" i="1"/>
  <c r="B2019" i="1"/>
  <c r="B8284" i="1"/>
  <c r="B10604" i="1"/>
  <c r="B5784" i="1"/>
  <c r="B4929" i="1"/>
  <c r="B4926" i="1"/>
  <c r="B2821" i="1"/>
  <c r="B3111" i="1"/>
  <c r="B4119" i="1"/>
  <c r="B4815" i="1"/>
  <c r="B3642" i="1"/>
  <c r="B17547" i="1"/>
  <c r="B782" i="1"/>
  <c r="B10986" i="1"/>
  <c r="B3810" i="1"/>
  <c r="B11469" i="1"/>
  <c r="B12780" i="1"/>
  <c r="B11936" i="1"/>
  <c r="B6930" i="1"/>
  <c r="B16617" i="1"/>
  <c r="B2067" i="1"/>
  <c r="B2084" i="1"/>
  <c r="B15037" i="1"/>
  <c r="B11366" i="1"/>
  <c r="B3471" i="1"/>
  <c r="B13178" i="1"/>
  <c r="B13008" i="1"/>
  <c r="B4879" i="1"/>
  <c r="B15819" i="1"/>
  <c r="B2066" i="1"/>
  <c r="B3661" i="1"/>
  <c r="B4577" i="1"/>
  <c r="B1581" i="1"/>
  <c r="B14856" i="1"/>
  <c r="B10633" i="1"/>
  <c r="B18001" i="1"/>
  <c r="B3088" i="1"/>
  <c r="B12888" i="1"/>
  <c r="B11978" i="1"/>
  <c r="B10140" i="1"/>
  <c r="B11615" i="1"/>
  <c r="B7219" i="1"/>
  <c r="B1960" i="1"/>
  <c r="B396" i="1"/>
  <c r="B13197" i="1"/>
  <c r="B8793" i="1"/>
  <c r="B1687" i="1"/>
  <c r="B12657" i="1"/>
  <c r="B2993" i="1"/>
  <c r="B9405" i="1"/>
  <c r="B10900" i="1"/>
  <c r="B17981" i="1"/>
  <c r="B11210" i="1"/>
  <c r="B10532" i="1"/>
  <c r="B2858" i="1"/>
  <c r="B7678" i="1"/>
  <c r="B15332" i="1"/>
  <c r="B2151" i="1"/>
  <c r="B8932" i="1"/>
  <c r="B12290" i="1"/>
  <c r="B13386" i="1"/>
  <c r="B12392" i="1"/>
  <c r="B4332" i="1"/>
  <c r="B13043" i="1"/>
  <c r="B12121" i="1"/>
  <c r="B1922" i="1"/>
  <c r="B3342" i="1"/>
  <c r="B4597" i="1"/>
  <c r="B6830" i="1"/>
  <c r="B13389" i="1"/>
  <c r="B10315" i="1"/>
  <c r="B2790" i="1"/>
  <c r="B10651" i="1"/>
  <c r="B10333" i="1"/>
  <c r="B164" i="1"/>
  <c r="B12297" i="1"/>
  <c r="B7192" i="1"/>
  <c r="B5933" i="1"/>
  <c r="B11553" i="1"/>
  <c r="B14720" i="1"/>
  <c r="B3554" i="1"/>
  <c r="B12016" i="1"/>
  <c r="B1394" i="1"/>
  <c r="B4733" i="1"/>
  <c r="B9070" i="1"/>
  <c r="B2749" i="1"/>
  <c r="B208" i="1"/>
  <c r="B3271" i="1"/>
  <c r="B14280" i="1"/>
  <c r="B11278" i="1"/>
  <c r="B4781" i="1"/>
  <c r="B2922" i="1"/>
  <c r="B5226" i="1"/>
  <c r="B3747" i="1"/>
  <c r="B2630" i="1"/>
  <c r="B8545" i="1"/>
  <c r="B3356" i="1"/>
  <c r="B11637" i="1"/>
  <c r="B12827" i="1"/>
  <c r="B14358" i="1"/>
  <c r="B7076" i="1"/>
  <c r="B13968" i="1"/>
  <c r="B3163" i="1"/>
  <c r="B6678" i="1"/>
  <c r="B12951" i="1"/>
  <c r="B2544" i="1"/>
  <c r="B9391" i="1"/>
  <c r="B3895" i="1"/>
  <c r="B440" i="1"/>
  <c r="B16918" i="1"/>
  <c r="B3681" i="1"/>
  <c r="B15043" i="1"/>
  <c r="B13651" i="1"/>
  <c r="B2769" i="1"/>
  <c r="B1972" i="1"/>
  <c r="B10426" i="1"/>
  <c r="B144" i="1"/>
  <c r="B5871" i="1"/>
  <c r="B2010" i="1"/>
  <c r="B10884" i="1"/>
  <c r="B5007" i="1"/>
  <c r="B14530" i="1"/>
  <c r="B13243" i="1"/>
  <c r="B13620" i="1"/>
  <c r="B17943" i="1"/>
  <c r="B3523" i="1"/>
  <c r="B225" i="1"/>
  <c r="B10533" i="1"/>
  <c r="B2498" i="1"/>
  <c r="B3071" i="1"/>
  <c r="B17180" i="1"/>
  <c r="B3864" i="1"/>
  <c r="B3073" i="1"/>
  <c r="B13352" i="1"/>
  <c r="B4596" i="1"/>
  <c r="B13335" i="1"/>
  <c r="B3160" i="1"/>
  <c r="B3561" i="1"/>
  <c r="B13699" i="1"/>
  <c r="B13072" i="1"/>
  <c r="B2770" i="1"/>
  <c r="B4587" i="1"/>
  <c r="B6844" i="1"/>
  <c r="B355" i="1"/>
  <c r="B8167" i="1"/>
  <c r="B8258" i="1"/>
  <c r="B10749" i="1"/>
  <c r="B11004" i="1"/>
  <c r="B11952" i="1"/>
  <c r="B10607" i="1"/>
  <c r="B13933" i="1"/>
  <c r="B10631" i="1"/>
  <c r="B12644" i="1"/>
  <c r="B6630" i="1"/>
  <c r="B11709" i="1"/>
  <c r="B13822" i="1"/>
  <c r="B7234" i="1"/>
  <c r="B11870" i="1"/>
  <c r="B13390" i="1"/>
  <c r="B17703" i="1"/>
  <c r="B2803" i="1"/>
  <c r="B2947" i="1"/>
  <c r="B8403" i="1"/>
  <c r="B13605" i="1"/>
  <c r="B3135" i="1"/>
  <c r="B7743" i="1"/>
  <c r="B9039" i="1"/>
  <c r="B6697" i="1"/>
  <c r="B11869" i="1"/>
  <c r="B3030" i="1"/>
  <c r="B7633" i="1"/>
  <c r="B4937" i="1"/>
  <c r="B3590" i="1"/>
  <c r="B2090" i="1"/>
  <c r="B11599" i="1"/>
  <c r="B8666" i="1"/>
  <c r="B3755" i="1"/>
  <c r="B1630" i="1"/>
  <c r="B2594" i="1"/>
  <c r="B1503" i="1"/>
  <c r="B150" i="1"/>
  <c r="B3568" i="1"/>
  <c r="B5921" i="1"/>
  <c r="B5465" i="1"/>
  <c r="B4720" i="1"/>
  <c r="B5464" i="1"/>
  <c r="B3232" i="1"/>
  <c r="B6483" i="1"/>
  <c r="B10995" i="1"/>
  <c r="B10232" i="1"/>
  <c r="B12904" i="1"/>
  <c r="B12892" i="1"/>
  <c r="B3322" i="1"/>
  <c r="B14072" i="1"/>
  <c r="B11233" i="1"/>
  <c r="B12950" i="1"/>
  <c r="B13174" i="1"/>
  <c r="B969" i="1"/>
  <c r="B7533" i="1"/>
  <c r="B7082" i="1"/>
  <c r="B1550" i="1"/>
  <c r="B5532" i="1"/>
  <c r="B10218" i="1"/>
  <c r="B2946" i="1"/>
  <c r="B12559" i="1"/>
  <c r="B14089" i="1"/>
  <c r="B13617" i="1"/>
  <c r="B13141" i="1"/>
  <c r="B10408" i="1"/>
  <c r="B7520" i="1"/>
  <c r="B5726" i="1"/>
  <c r="B6033" i="1"/>
  <c r="B12897" i="1"/>
  <c r="B7795" i="1"/>
  <c r="B5894" i="1"/>
  <c r="B3887" i="1"/>
  <c r="B1589" i="1"/>
  <c r="B4373" i="1"/>
  <c r="B13550" i="1"/>
  <c r="B12890" i="1"/>
  <c r="B3928" i="1"/>
  <c r="B12548" i="1"/>
  <c r="B13655" i="1"/>
  <c r="B10912" i="1"/>
  <c r="B1696" i="1"/>
  <c r="B10478" i="1"/>
  <c r="B3334" i="1"/>
  <c r="B2093" i="1"/>
  <c r="B12822" i="1"/>
  <c r="B3370" i="1"/>
  <c r="B12570" i="1"/>
  <c r="B3693" i="1"/>
  <c r="B13460" i="1"/>
  <c r="B13984" i="1"/>
  <c r="B13616" i="1"/>
  <c r="B18002" i="1"/>
  <c r="B12517" i="1"/>
  <c r="B7620" i="1"/>
  <c r="B3714" i="1"/>
  <c r="B1586" i="1"/>
  <c r="B7092" i="1"/>
  <c r="B7407" i="1"/>
  <c r="B13618" i="1"/>
  <c r="B16045" i="1"/>
  <c r="B14391" i="1"/>
  <c r="B13643" i="1"/>
  <c r="B13161" i="1"/>
  <c r="B3044" i="1"/>
  <c r="B2690" i="1"/>
  <c r="B13652" i="1"/>
  <c r="B12150" i="1"/>
  <c r="B10275" i="1"/>
  <c r="B4164" i="1"/>
  <c r="B4309" i="1"/>
  <c r="B12144" i="1"/>
  <c r="B7975" i="1"/>
  <c r="B13939" i="1"/>
  <c r="B4711" i="1"/>
  <c r="B12146" i="1"/>
  <c r="B5975" i="1"/>
  <c r="B5886" i="1"/>
  <c r="B1054" i="1"/>
  <c r="B11975" i="1"/>
  <c r="B1108" i="1"/>
  <c r="B6023" i="1"/>
  <c r="B5173" i="1"/>
  <c r="B6510" i="1"/>
  <c r="B5236" i="1"/>
  <c r="B11315" i="1"/>
  <c r="B13838" i="1"/>
  <c r="B7067" i="1"/>
  <c r="B14369" i="1"/>
  <c r="B15568" i="1"/>
  <c r="B2869" i="1"/>
  <c r="B15608" i="1"/>
  <c r="B2100" i="1"/>
  <c r="B4539" i="1"/>
  <c r="B6707" i="1"/>
  <c r="B12072" i="1"/>
  <c r="B14476" i="1"/>
  <c r="B15336" i="1"/>
  <c r="B3379" i="1"/>
  <c r="B9886" i="1"/>
  <c r="B5026" i="1"/>
  <c r="B2524" i="1"/>
  <c r="B4648" i="1"/>
  <c r="B6106" i="1"/>
  <c r="B858" i="1"/>
  <c r="B10614" i="1"/>
  <c r="B3293" i="1"/>
  <c r="B10874" i="1"/>
  <c r="B2657" i="1"/>
  <c r="B55" i="1"/>
  <c r="B10944" i="1"/>
  <c r="B12768" i="1"/>
  <c r="B3083" i="1"/>
  <c r="B5292" i="1"/>
  <c r="B1947" i="1"/>
  <c r="B2875" i="1"/>
  <c r="B12316" i="1"/>
  <c r="B5272" i="1"/>
  <c r="B11117" i="1"/>
  <c r="B10559" i="1"/>
  <c r="B8274" i="1"/>
  <c r="B8275" i="1"/>
  <c r="B10235" i="1"/>
  <c r="B338" i="1"/>
  <c r="B4572" i="1"/>
  <c r="B294" i="1"/>
  <c r="B17931" i="1"/>
  <c r="B10754" i="1"/>
  <c r="B8041" i="1"/>
  <c r="B12152" i="1"/>
  <c r="B2117" i="1"/>
  <c r="B2543" i="1"/>
  <c r="B6848" i="1"/>
  <c r="B6769" i="1"/>
  <c r="B2255" i="1"/>
  <c r="B14770" i="1"/>
  <c r="B11444" i="1"/>
  <c r="B13466" i="1"/>
  <c r="B14379" i="1"/>
  <c r="B11415" i="1"/>
  <c r="B2953" i="1"/>
  <c r="B11041" i="1"/>
  <c r="B10226" i="1"/>
  <c r="B2416" i="1"/>
  <c r="B7333" i="1"/>
  <c r="B6052" i="1"/>
  <c r="B5329" i="1"/>
  <c r="B2096" i="1"/>
  <c r="B5238" i="1"/>
  <c r="B14182" i="1"/>
  <c r="B4797" i="1"/>
  <c r="B4229" i="1"/>
  <c r="B6162" i="1"/>
  <c r="B9867" i="1"/>
  <c r="B15211" i="1"/>
  <c r="B10542" i="1"/>
  <c r="B4348" i="1"/>
  <c r="B3767" i="1"/>
  <c r="B15835" i="1"/>
  <c r="B13078" i="1"/>
  <c r="B17446" i="1"/>
  <c r="B14728" i="1"/>
  <c r="B10443" i="1"/>
  <c r="B201" i="1"/>
  <c r="B6807" i="1"/>
  <c r="B2486" i="1"/>
  <c r="B15636" i="1"/>
  <c r="B58" i="1"/>
  <c r="B5257" i="1"/>
  <c r="B772" i="1"/>
  <c r="B12444" i="1"/>
  <c r="B10576" i="1"/>
  <c r="B10174" i="1"/>
  <c r="B4928" i="1"/>
  <c r="B12545" i="1"/>
  <c r="B3972" i="1"/>
  <c r="B17086" i="1"/>
  <c r="B2536" i="1"/>
  <c r="B4439" i="1"/>
  <c r="B11323" i="1"/>
  <c r="B1079" i="1"/>
  <c r="B7623" i="1"/>
  <c r="B1757" i="1"/>
  <c r="B4986" i="1"/>
  <c r="B4961" i="1"/>
  <c r="B1288" i="1"/>
  <c r="B11876" i="1"/>
  <c r="B2050" i="1"/>
  <c r="B8337" i="1"/>
  <c r="B12077" i="1"/>
  <c r="B13020" i="1"/>
  <c r="B14647" i="1"/>
  <c r="B1997" i="1"/>
  <c r="B5216" i="1"/>
  <c r="B10936" i="1"/>
  <c r="B3218" i="1"/>
  <c r="B14778" i="1"/>
  <c r="B10305" i="1"/>
  <c r="B3704" i="1"/>
  <c r="B12622" i="1"/>
  <c r="B16382" i="1"/>
  <c r="B6598" i="1"/>
  <c r="B14854" i="1"/>
  <c r="B1783" i="1"/>
  <c r="B5443" i="1"/>
  <c r="B1978" i="1"/>
  <c r="B4242" i="1"/>
  <c r="B15887" i="1"/>
  <c r="B15711" i="1"/>
  <c r="B2344" i="1"/>
  <c r="B10694" i="1"/>
  <c r="B4043" i="1"/>
  <c r="B3727" i="1"/>
  <c r="B598" i="1"/>
  <c r="B6711" i="1"/>
  <c r="B456" i="1"/>
  <c r="B2628" i="1"/>
  <c r="B4227" i="1"/>
  <c r="B7970" i="1"/>
  <c r="B13581" i="1"/>
  <c r="B3768" i="1"/>
  <c r="B7591" i="1"/>
  <c r="B14799" i="1"/>
  <c r="B739" i="1"/>
  <c r="B3320" i="1"/>
  <c r="B14683" i="1"/>
  <c r="B5582" i="1"/>
  <c r="B5568" i="1"/>
  <c r="B5580" i="1"/>
  <c r="B5617" i="1"/>
  <c r="B5604" i="1"/>
  <c r="B13560" i="1"/>
  <c r="B5628" i="1"/>
  <c r="B4508" i="1"/>
  <c r="B13138" i="1"/>
  <c r="B4075" i="1"/>
  <c r="B1680" i="1"/>
  <c r="B5932" i="1"/>
  <c r="B11536" i="1"/>
  <c r="B8433" i="1"/>
  <c r="B9759" i="1"/>
  <c r="B11487" i="1"/>
  <c r="B7807" i="1"/>
  <c r="B5931" i="1"/>
  <c r="B14385" i="1"/>
  <c r="B10857" i="1"/>
  <c r="B14355" i="1"/>
  <c r="B5496" i="1"/>
  <c r="B11414" i="1"/>
  <c r="B2782" i="1"/>
  <c r="B11595" i="1"/>
  <c r="B10726" i="1"/>
  <c r="B11048" i="1"/>
  <c r="B13073" i="1"/>
  <c r="B3667" i="1"/>
  <c r="B6758" i="1"/>
  <c r="B3225" i="1"/>
  <c r="B3412" i="1"/>
  <c r="B2124" i="1"/>
  <c r="B9659" i="1"/>
  <c r="B7015" i="1"/>
  <c r="B17918" i="1"/>
  <c r="B10593" i="1"/>
  <c r="B12975" i="1"/>
  <c r="B13347" i="1"/>
  <c r="B5102" i="1"/>
  <c r="B4708" i="1"/>
  <c r="B3891" i="1"/>
  <c r="B5566" i="1"/>
  <c r="B17602" i="1"/>
  <c r="B10641" i="1"/>
  <c r="B1005" i="1"/>
  <c r="B5683" i="1"/>
  <c r="B9448" i="1"/>
  <c r="B5693" i="1"/>
  <c r="B15249" i="1"/>
  <c r="B7482" i="1"/>
  <c r="B9465" i="1"/>
  <c r="B54" i="1"/>
  <c r="B6801" i="1"/>
  <c r="B13827" i="1"/>
  <c r="B5668" i="1"/>
  <c r="B4381" i="1"/>
  <c r="B2325" i="1"/>
  <c r="B16540" i="1"/>
  <c r="B13057" i="1"/>
  <c r="B13457" i="1"/>
  <c r="B4295" i="1"/>
  <c r="B1907" i="1"/>
  <c r="B13331" i="1"/>
  <c r="B3307" i="1"/>
  <c r="B387" i="1"/>
  <c r="B11645" i="1"/>
  <c r="B12050" i="1"/>
  <c r="B6981" i="1"/>
  <c r="B3797" i="1"/>
  <c r="B13996" i="1"/>
  <c r="B14675" i="1"/>
  <c r="B7094" i="1"/>
  <c r="B13464" i="1"/>
  <c r="B11820" i="1"/>
  <c r="B9396" i="1"/>
  <c r="B4668" i="1"/>
  <c r="B3618" i="1"/>
  <c r="B3519" i="1"/>
  <c r="B11394" i="1"/>
  <c r="B4834" i="1"/>
  <c r="B11710" i="1"/>
  <c r="B6864" i="1"/>
  <c r="B12088" i="1"/>
  <c r="B1187" i="1"/>
  <c r="B4969" i="1"/>
  <c r="B13889" i="1"/>
  <c r="B12079" i="1"/>
  <c r="B3020" i="1"/>
  <c r="B14468" i="1"/>
  <c r="B12485" i="1"/>
  <c r="B12616" i="1"/>
  <c r="B5716" i="1"/>
  <c r="B3790" i="1"/>
  <c r="B11792" i="1"/>
  <c r="B5909" i="1"/>
  <c r="B5603" i="1"/>
  <c r="B11674" i="1"/>
  <c r="B11863" i="1"/>
  <c r="B9803" i="1"/>
  <c r="B14709" i="1"/>
  <c r="B2494" i="1"/>
  <c r="B7357" i="1"/>
  <c r="B13999" i="1"/>
  <c r="B7068" i="1"/>
  <c r="B9138" i="1"/>
  <c r="B12818" i="1"/>
  <c r="B7716" i="1"/>
  <c r="B3597" i="1"/>
  <c r="B11086" i="1"/>
  <c r="B8336" i="1"/>
  <c r="B10485" i="1"/>
  <c r="B3951" i="1"/>
  <c r="B3525" i="1"/>
  <c r="B6531" i="1"/>
  <c r="B9924" i="1"/>
  <c r="B3698" i="1"/>
  <c r="B10817" i="1"/>
  <c r="B13833" i="1"/>
  <c r="B4644" i="1"/>
  <c r="B7933" i="1"/>
  <c r="B1980" i="1"/>
  <c r="B12279" i="1"/>
  <c r="B2342" i="1"/>
  <c r="B5859" i="1"/>
  <c r="B8870" i="1"/>
  <c r="B12794" i="1"/>
  <c r="B1552" i="1"/>
  <c r="B12315" i="1"/>
  <c r="B11376" i="1"/>
  <c r="B6665" i="1"/>
  <c r="B13482" i="1"/>
  <c r="B881" i="1"/>
  <c r="B14565" i="1"/>
  <c r="B8768" i="1"/>
  <c r="B14906" i="1"/>
  <c r="B16042" i="1"/>
  <c r="B4622" i="1"/>
  <c r="B7106" i="1"/>
  <c r="B4966" i="1"/>
  <c r="B6721" i="1"/>
  <c r="B3603" i="1"/>
  <c r="B12161" i="1"/>
  <c r="B899" i="1"/>
  <c r="B10572" i="1"/>
  <c r="B10669" i="1"/>
  <c r="B5091" i="1"/>
  <c r="B6877" i="1"/>
  <c r="B11559" i="1"/>
  <c r="B3945" i="1"/>
  <c r="B11668" i="1"/>
  <c r="B4840" i="1"/>
  <c r="B1453" i="1"/>
  <c r="B1575" i="1"/>
  <c r="B4413" i="1"/>
  <c r="B11061" i="1"/>
  <c r="B5854" i="1"/>
  <c r="B11436" i="1"/>
  <c r="B401" i="1"/>
  <c r="B3929" i="1"/>
  <c r="B13613" i="1"/>
  <c r="B5447" i="1"/>
  <c r="B1765" i="1"/>
  <c r="B6994" i="1"/>
  <c r="B2722" i="1"/>
  <c r="B5299" i="1"/>
  <c r="B7297" i="1"/>
  <c r="B10596" i="1"/>
  <c r="B5748" i="1"/>
  <c r="B5665" i="1"/>
  <c r="B5881" i="1"/>
  <c r="B3062" i="1"/>
  <c r="B14596" i="1"/>
  <c r="B5848" i="1"/>
  <c r="B5762" i="1"/>
  <c r="B5672" i="1"/>
  <c r="B11341" i="1"/>
  <c r="B12361" i="1"/>
  <c r="B7059" i="1"/>
  <c r="B12597" i="1"/>
  <c r="B12084" i="1"/>
  <c r="B12472" i="1"/>
  <c r="B3999" i="1"/>
  <c r="B10152" i="1"/>
  <c r="B4810" i="1"/>
  <c r="B4081" i="1"/>
  <c r="B2941" i="1"/>
  <c r="B6183" i="1"/>
  <c r="B14434" i="1"/>
  <c r="B12452" i="1"/>
  <c r="B12364" i="1"/>
  <c r="B7450" i="1"/>
  <c r="B1774" i="1"/>
  <c r="B14757" i="1"/>
  <c r="B11482" i="1"/>
  <c r="B11209" i="1"/>
  <c r="B11879" i="1"/>
  <c r="B13612" i="1"/>
  <c r="B12629" i="1"/>
  <c r="B4963" i="1"/>
  <c r="B4451" i="1"/>
  <c r="B399" i="1"/>
  <c r="B12601" i="1"/>
  <c r="B12926" i="1"/>
  <c r="B6597" i="1"/>
  <c r="B12707" i="1"/>
  <c r="B2919" i="1"/>
  <c r="B10630" i="1"/>
  <c r="B1458" i="1"/>
  <c r="B3039" i="1"/>
  <c r="B12959" i="1"/>
  <c r="B17936" i="1"/>
  <c r="B6522" i="1"/>
  <c r="B4005" i="1"/>
  <c r="B11312" i="1"/>
  <c r="B4321" i="1"/>
  <c r="B6869" i="1"/>
  <c r="B4457" i="1"/>
  <c r="B4682" i="1"/>
  <c r="B3283" i="1"/>
  <c r="B9678" i="1"/>
  <c r="B11082" i="1"/>
  <c r="B8373" i="1"/>
  <c r="B8311" i="1"/>
  <c r="B8310" i="1"/>
  <c r="B13945" i="1"/>
  <c r="B8312" i="1"/>
  <c r="B2059" i="1"/>
  <c r="B10345" i="1"/>
  <c r="B3804" i="1"/>
  <c r="B7766" i="1"/>
  <c r="B2115" i="1"/>
  <c r="B3510" i="1"/>
  <c r="B15947" i="1"/>
  <c r="B14848" i="1"/>
  <c r="B13" i="1"/>
  <c r="B15387" i="1"/>
  <c r="B9048" i="1"/>
  <c r="B3906" i="1"/>
  <c r="B4843" i="1"/>
  <c r="B2111" i="1"/>
  <c r="B14723" i="1"/>
  <c r="B8419" i="1"/>
  <c r="B15694" i="1"/>
  <c r="B6810" i="1"/>
  <c r="B6734" i="1"/>
  <c r="B5214" i="1"/>
  <c r="B13108" i="1"/>
  <c r="B1553" i="1"/>
  <c r="B7679" i="1"/>
  <c r="B2294" i="1"/>
  <c r="B4297" i="1"/>
  <c r="B11555" i="1"/>
  <c r="B12878" i="1"/>
  <c r="B7187" i="1"/>
  <c r="B1434" i="1"/>
  <c r="B3924" i="1"/>
  <c r="B6909" i="1"/>
  <c r="B6823" i="1"/>
  <c r="B13926" i="1"/>
  <c r="B1580" i="1"/>
  <c r="B13941" i="1"/>
  <c r="B9546" i="1"/>
  <c r="B4772" i="1"/>
  <c r="B13791" i="1"/>
  <c r="B1595" i="1"/>
  <c r="B13373" i="1"/>
  <c r="B13296" i="1"/>
  <c r="B5295" i="1"/>
  <c r="B8184" i="1"/>
  <c r="B3177" i="1"/>
  <c r="B2107" i="1"/>
  <c r="B16366" i="1"/>
  <c r="B15356" i="1"/>
  <c r="B10025" i="1"/>
  <c r="B13303" i="1"/>
  <c r="B14462" i="1"/>
  <c r="B10369" i="1"/>
  <c r="B7571" i="1"/>
  <c r="B4202" i="1"/>
  <c r="B4823" i="1"/>
  <c r="B7161" i="1"/>
  <c r="B11451" i="1"/>
  <c r="B10606" i="1"/>
  <c r="B1433" i="1"/>
  <c r="B4569" i="1"/>
  <c r="B5434" i="1"/>
  <c r="B6082" i="1"/>
  <c r="B4725" i="1"/>
  <c r="B14459" i="1"/>
  <c r="B4130" i="1"/>
  <c r="B6565" i="1"/>
  <c r="B6529" i="1"/>
  <c r="B3899" i="1"/>
  <c r="B5261" i="1"/>
  <c r="B12404" i="1"/>
  <c r="B8162" i="1"/>
  <c r="B12478" i="1"/>
  <c r="B2675" i="1"/>
  <c r="B10121" i="1"/>
  <c r="B11418" i="1"/>
  <c r="B10171" i="1"/>
  <c r="B9913" i="1"/>
  <c r="B5661" i="1"/>
  <c r="B14026" i="1"/>
  <c r="B3521" i="1"/>
  <c r="B10049" i="1"/>
  <c r="B14589" i="1"/>
  <c r="B4266" i="1"/>
  <c r="B10886" i="1"/>
  <c r="B4698" i="1"/>
  <c r="B12418" i="1"/>
  <c r="B8083" i="1"/>
  <c r="B12219" i="1"/>
  <c r="B12647" i="1"/>
  <c r="B11581" i="1"/>
  <c r="B12246" i="1"/>
  <c r="B12467" i="1"/>
  <c r="B14132" i="1"/>
  <c r="B4233" i="1"/>
  <c r="B4436" i="1"/>
  <c r="B16280" i="1"/>
  <c r="B3683" i="1"/>
  <c r="B10866" i="1"/>
  <c r="B14827" i="1"/>
  <c r="B12244" i="1"/>
  <c r="B16233" i="1"/>
  <c r="B10288" i="1"/>
  <c r="B11222" i="1"/>
  <c r="B5067" i="1"/>
  <c r="B10601" i="1"/>
  <c r="B15203" i="1"/>
  <c r="B7555" i="1"/>
  <c r="B5829" i="1"/>
  <c r="B5751" i="1"/>
  <c r="B5756" i="1"/>
  <c r="B4560" i="1"/>
  <c r="B3725" i="1"/>
  <c r="B1413" i="1"/>
  <c r="B4339" i="1"/>
  <c r="B11124" i="1"/>
  <c r="B3931" i="1"/>
  <c r="B8715" i="1"/>
  <c r="B3671" i="1"/>
  <c r="B4422" i="1"/>
  <c r="B2075" i="1"/>
  <c r="B12673" i="1"/>
  <c r="B9847" i="1"/>
  <c r="B10392" i="1"/>
  <c r="B5810" i="1"/>
  <c r="B13861" i="1"/>
  <c r="B11722" i="1"/>
  <c r="B15806" i="1"/>
  <c r="B4407" i="1"/>
  <c r="B5036" i="1"/>
  <c r="B11652" i="1"/>
  <c r="B3836" i="1"/>
  <c r="B7593" i="1"/>
  <c r="B12075" i="1"/>
  <c r="B5106" i="1"/>
  <c r="B14652" i="1"/>
  <c r="B17608" i="1"/>
  <c r="B12208" i="1"/>
  <c r="B1498" i="1"/>
  <c r="B10688" i="1"/>
  <c r="B1301" i="1"/>
  <c r="B15106" i="1"/>
  <c r="B10370" i="1"/>
  <c r="B10920" i="1"/>
  <c r="B2541" i="1"/>
  <c r="B14578" i="1"/>
  <c r="B3165" i="1"/>
  <c r="B11777" i="1"/>
  <c r="B10202" i="1"/>
  <c r="B7415" i="1"/>
  <c r="B6740" i="1"/>
  <c r="B5614" i="1"/>
  <c r="B2224" i="1"/>
  <c r="B15446" i="1"/>
  <c r="B14797" i="1"/>
  <c r="B789" i="1"/>
  <c r="B6214" i="1"/>
  <c r="B6706" i="1"/>
  <c r="B1957" i="1"/>
  <c r="B1268" i="1"/>
  <c r="B4371" i="1"/>
  <c r="B3624" i="1"/>
  <c r="B5308" i="1"/>
  <c r="B2351" i="1"/>
  <c r="B5285" i="1"/>
  <c r="B4547" i="1"/>
  <c r="B13871" i="1"/>
  <c r="B12034" i="1"/>
  <c r="B11417" i="1"/>
  <c r="B11406" i="1"/>
  <c r="B5676" i="1"/>
  <c r="B4737" i="1"/>
  <c r="B12247" i="1"/>
  <c r="B10889" i="1"/>
  <c r="B16873" i="1"/>
  <c r="B5417" i="1"/>
  <c r="B6571" i="1"/>
  <c r="B7996" i="1"/>
  <c r="B7129" i="1"/>
  <c r="B4219" i="1"/>
  <c r="B2700" i="1"/>
  <c r="B3234" i="1"/>
  <c r="B7826" i="1"/>
  <c r="B14245" i="1"/>
  <c r="B10619" i="1"/>
  <c r="B13504" i="1"/>
  <c r="B1874" i="1"/>
  <c r="B14864" i="1"/>
  <c r="B11139" i="1"/>
  <c r="B14303" i="1"/>
  <c r="B10331" i="1"/>
  <c r="B8169" i="1"/>
  <c r="B14448" i="1"/>
  <c r="B14828" i="1"/>
  <c r="B14746" i="1"/>
  <c r="B4689" i="1"/>
  <c r="B2176" i="1"/>
  <c r="B11913" i="1"/>
  <c r="B17962" i="1"/>
  <c r="B16919" i="1"/>
  <c r="B2648" i="1"/>
  <c r="B15869" i="1"/>
  <c r="B1743" i="1"/>
  <c r="B2610" i="1"/>
  <c r="B2890" i="1"/>
  <c r="B7672" i="1"/>
  <c r="B1931" i="1"/>
  <c r="B17736" i="1"/>
  <c r="B13306" i="1"/>
  <c r="B9772" i="1"/>
  <c r="B10956" i="1"/>
  <c r="B4179" i="1"/>
  <c r="B2666" i="1"/>
  <c r="B12177" i="1"/>
  <c r="B17954" i="1"/>
  <c r="B2566" i="1"/>
  <c r="B15134" i="1"/>
  <c r="B3138" i="1"/>
  <c r="B1795" i="1"/>
  <c r="B1032" i="1"/>
  <c r="B12045" i="1"/>
  <c r="B5312" i="1"/>
  <c r="B2554" i="1"/>
  <c r="B1138" i="1"/>
  <c r="B10924" i="1"/>
  <c r="B11780" i="1"/>
  <c r="B9991" i="1"/>
  <c r="B4610" i="1"/>
  <c r="B11022" i="1"/>
  <c r="B11834" i="1"/>
  <c r="B11027" i="1"/>
  <c r="B11153" i="1"/>
  <c r="B14644" i="1"/>
  <c r="B10587" i="1"/>
  <c r="B4789" i="1"/>
  <c r="B11128" i="1"/>
  <c r="B10578" i="1"/>
  <c r="B10807" i="1"/>
  <c r="B12565" i="1"/>
  <c r="B1366" i="1"/>
  <c r="B9185" i="1"/>
  <c r="B13479" i="1"/>
  <c r="B17922" i="1"/>
  <c r="B14850" i="1"/>
  <c r="B11661" i="1"/>
  <c r="B13345" i="1"/>
  <c r="B234" i="1"/>
  <c r="B239" i="1"/>
  <c r="B10686" i="1"/>
  <c r="B5253" i="1"/>
  <c r="B10073" i="1"/>
  <c r="B11463" i="1"/>
  <c r="B2714" i="1"/>
  <c r="B12533" i="1"/>
  <c r="B14692" i="1"/>
  <c r="B8194" i="1"/>
  <c r="B11833" i="1"/>
  <c r="B569" i="1"/>
  <c r="B13490" i="1"/>
  <c r="B14414" i="1"/>
  <c r="B804" i="1"/>
  <c r="B10620" i="1"/>
  <c r="B17940" i="1"/>
  <c r="B8959" i="1"/>
  <c r="B10344" i="1"/>
  <c r="B5004" i="1"/>
  <c r="B11997" i="1"/>
  <c r="B8052" i="1"/>
  <c r="B6034" i="1"/>
  <c r="B17942" i="1"/>
  <c r="B7127" i="1"/>
  <c r="B12053" i="1"/>
  <c r="B4388" i="1"/>
  <c r="B5280" i="1"/>
  <c r="B2155" i="1"/>
  <c r="B875" i="1"/>
  <c r="B1429" i="1"/>
  <c r="B8116" i="1"/>
  <c r="B17915" i="1"/>
  <c r="B17989" i="1"/>
  <c r="B2485" i="1"/>
  <c r="B12448" i="1"/>
  <c r="B8939" i="1"/>
  <c r="B5493" i="1"/>
  <c r="B4066" i="1"/>
  <c r="B4281" i="1"/>
  <c r="B15369" i="1"/>
  <c r="B1639" i="1"/>
  <c r="B2667" i="1"/>
  <c r="B4839" i="1"/>
  <c r="B2733" i="1"/>
  <c r="B4571" i="1"/>
  <c r="B4329" i="1"/>
  <c r="B14903" i="1"/>
  <c r="B13664" i="1"/>
  <c r="B4462" i="1"/>
  <c r="B3441" i="1"/>
  <c r="B14557" i="1"/>
  <c r="B13628" i="1"/>
  <c r="B13662" i="1"/>
  <c r="B13632" i="1"/>
  <c r="B3294" i="1"/>
  <c r="B2670" i="1"/>
  <c r="B12988" i="1"/>
  <c r="B4294" i="1"/>
  <c r="B9311" i="1"/>
  <c r="B12288" i="1"/>
  <c r="B3384" i="1"/>
  <c r="B11545" i="1"/>
  <c r="B5400" i="1"/>
  <c r="B3866" i="1"/>
  <c r="B3762" i="1"/>
  <c r="B2259" i="1"/>
  <c r="B4993" i="1"/>
  <c r="B13508" i="1"/>
  <c r="B2723" i="1"/>
  <c r="B1912" i="1"/>
  <c r="B15017" i="1"/>
  <c r="B2653" i="1"/>
  <c r="B9399" i="1"/>
  <c r="B8233" i="1"/>
  <c r="B8674" i="1"/>
  <c r="B2768" i="1"/>
  <c r="B9709" i="1"/>
  <c r="B13181" i="1"/>
  <c r="B3082" i="1"/>
  <c r="B4267" i="1"/>
  <c r="B6926" i="1"/>
  <c r="B3917" i="1"/>
  <c r="B3522" i="1"/>
  <c r="B11528" i="1"/>
  <c r="B2903" i="1"/>
  <c r="B1004" i="1"/>
  <c r="B6122" i="1"/>
  <c r="B4257" i="1"/>
  <c r="B1073" i="1"/>
  <c r="B4778" i="1"/>
  <c r="B3017" i="1"/>
  <c r="B13267" i="1"/>
  <c r="B8919" i="1"/>
  <c r="B2250" i="1"/>
  <c r="B4280" i="1"/>
  <c r="B3361" i="1"/>
  <c r="B2983" i="1"/>
  <c r="B2685" i="1"/>
  <c r="B14743" i="1"/>
  <c r="B1788" i="1"/>
  <c r="B8342" i="1"/>
  <c r="B10031" i="1"/>
  <c r="B2599" i="1"/>
  <c r="B3796" i="1"/>
  <c r="B11320" i="1"/>
  <c r="B6836" i="1"/>
  <c r="B3712" i="1"/>
  <c r="B1775" i="1"/>
  <c r="B746" i="1"/>
  <c r="B12621" i="1"/>
  <c r="B9486" i="1"/>
  <c r="B2168" i="1"/>
  <c r="B10805" i="1"/>
  <c r="B13453" i="1"/>
  <c r="B9429" i="1"/>
  <c r="B13526" i="1"/>
  <c r="B10317" i="1"/>
  <c r="B13429" i="1"/>
  <c r="B3736" i="1"/>
  <c r="B4210" i="1"/>
  <c r="B6618" i="1"/>
  <c r="B3607" i="1"/>
  <c r="B5950" i="1"/>
  <c r="B10678" i="1"/>
  <c r="B7054" i="1"/>
  <c r="B1317" i="1"/>
  <c r="B3615" i="1"/>
  <c r="B4678" i="1"/>
  <c r="B11538" i="1"/>
  <c r="B14170" i="1"/>
  <c r="B10966" i="1"/>
  <c r="B2210" i="1"/>
  <c r="B2055" i="1"/>
  <c r="B1632" i="1"/>
  <c r="B5279" i="1"/>
  <c r="B1069" i="1"/>
  <c r="B13461" i="1"/>
  <c r="B13224" i="1"/>
  <c r="B11651" i="1"/>
  <c r="B1933" i="1"/>
  <c r="B13338" i="1"/>
  <c r="B7058" i="1"/>
  <c r="B4124" i="1"/>
  <c r="B8381" i="1"/>
  <c r="B11160" i="1"/>
  <c r="B2926" i="1"/>
  <c r="B3780" i="1"/>
  <c r="B4007" i="1"/>
  <c r="B2895" i="1"/>
  <c r="B16240" i="1"/>
  <c r="B6599" i="1"/>
  <c r="B13633" i="1"/>
  <c r="B7143" i="1"/>
  <c r="B12343" i="1"/>
  <c r="B12352" i="1"/>
  <c r="B2081" i="1"/>
  <c r="B17819" i="1"/>
  <c r="B14345" i="1"/>
  <c r="B1041" i="1"/>
  <c r="B287" i="1"/>
  <c r="B1992" i="1"/>
  <c r="B4954" i="1"/>
  <c r="B5230" i="1"/>
  <c r="B7042" i="1"/>
  <c r="B17232" i="1"/>
  <c r="B15269" i="1"/>
  <c r="B2225" i="1"/>
  <c r="B2593" i="1"/>
  <c r="B583" i="1"/>
  <c r="B4659" i="1"/>
  <c r="B11741" i="1"/>
  <c r="B6579" i="1"/>
  <c r="B2212" i="1"/>
  <c r="B3415" i="1"/>
  <c r="B4568" i="1"/>
  <c r="B12217" i="1"/>
  <c r="B2603" i="1"/>
  <c r="B153" i="1"/>
  <c r="B10285" i="1"/>
  <c r="B2540" i="1"/>
  <c r="B13417" i="1"/>
  <c r="B13116" i="1"/>
  <c r="B9072" i="1"/>
  <c r="B2222" i="1"/>
  <c r="B5599" i="1"/>
  <c r="B5558" i="1"/>
  <c r="B5573" i="1"/>
  <c r="B3717" i="1"/>
  <c r="B5577" i="1"/>
  <c r="B5533" i="1"/>
  <c r="B10845" i="1"/>
  <c r="B402" i="1"/>
  <c r="B9446" i="1"/>
  <c r="B5534" i="1"/>
  <c r="B5621" i="1"/>
  <c r="B17108" i="1"/>
  <c r="B10398" i="1"/>
  <c r="B4507" i="1"/>
  <c r="B11445" i="1"/>
  <c r="B5011" i="1"/>
  <c r="B6789" i="1"/>
  <c r="B11355" i="1"/>
  <c r="B11390" i="1"/>
  <c r="B2964" i="1"/>
  <c r="B3914" i="1"/>
  <c r="B12710" i="1"/>
  <c r="B14451" i="1"/>
  <c r="B17892" i="1"/>
  <c r="B922" i="1"/>
  <c r="B11399" i="1"/>
  <c r="B738" i="1"/>
  <c r="B10473" i="1"/>
  <c r="B5094" i="1"/>
  <c r="B4447" i="1"/>
  <c r="B14682" i="1"/>
  <c r="B7056" i="1"/>
  <c r="B72" i="1"/>
  <c r="B3192" i="1"/>
  <c r="B10769" i="1"/>
  <c r="B12520" i="1"/>
  <c r="B13688" i="1"/>
  <c r="B13418" i="1"/>
  <c r="B17972" i="1"/>
  <c r="B2930" i="1"/>
  <c r="B12536" i="1"/>
  <c r="B5734" i="1"/>
  <c r="B16073" i="1"/>
  <c r="B15894" i="1"/>
  <c r="B13467" i="1"/>
  <c r="B5650" i="1"/>
  <c r="B5732" i="1"/>
  <c r="B12380" i="1"/>
  <c r="B13421" i="1"/>
  <c r="B5559" i="1"/>
  <c r="B4386" i="1"/>
  <c r="B14753" i="1"/>
  <c r="B2273" i="1"/>
  <c r="B9221" i="1"/>
  <c r="B5210" i="1"/>
  <c r="B10363" i="1"/>
  <c r="B13354" i="1"/>
  <c r="B15067" i="1"/>
  <c r="B7051" i="1"/>
  <c r="B6357" i="1"/>
  <c r="B3977" i="1"/>
  <c r="B2565" i="1"/>
  <c r="B12618" i="1"/>
  <c r="B12838" i="1"/>
  <c r="B4011" i="1"/>
  <c r="B5051" i="1"/>
  <c r="B6918" i="1"/>
  <c r="B414" i="1"/>
  <c r="B10584" i="1"/>
  <c r="B13624" i="1"/>
  <c r="B10628" i="1"/>
  <c r="B13083" i="1"/>
  <c r="B4740" i="1"/>
  <c r="B13190" i="1"/>
  <c r="B4109" i="1"/>
  <c r="B3207" i="1"/>
  <c r="B13236" i="1"/>
  <c r="B4636" i="1"/>
  <c r="B5137" i="1"/>
  <c r="B8875" i="1"/>
  <c r="B4487" i="1"/>
  <c r="B3419" i="1"/>
  <c r="B2015" i="1"/>
  <c r="B2417" i="1"/>
  <c r="B6022" i="1"/>
  <c r="B17600" i="1"/>
  <c r="B6970" i="1"/>
  <c r="B6704" i="1"/>
  <c r="B13255" i="1"/>
  <c r="B3121" i="1"/>
  <c r="B17985" i="1"/>
  <c r="B15927" i="1"/>
  <c r="B2577" i="1"/>
  <c r="B16067" i="1"/>
  <c r="B6015" i="1"/>
  <c r="B6480" i="1"/>
  <c r="B2819" i="1"/>
  <c r="B2982" i="1"/>
  <c r="B15524" i="1"/>
  <c r="B8504" i="1"/>
  <c r="B3659" i="1"/>
  <c r="B6826" i="1"/>
  <c r="B5286" i="1"/>
  <c r="B9743" i="1"/>
  <c r="B11016" i="1"/>
  <c r="B5111" i="1"/>
  <c r="B11557" i="1"/>
  <c r="B6834" i="1"/>
  <c r="B6491" i="1"/>
  <c r="B11055" i="1"/>
  <c r="B11534" i="1"/>
  <c r="B7868" i="1"/>
  <c r="B7616" i="1"/>
  <c r="B2936" i="1"/>
  <c r="B5006" i="1"/>
  <c r="B1213" i="1"/>
  <c r="B2042" i="1"/>
  <c r="B12806" i="1"/>
  <c r="B17881" i="1"/>
  <c r="B10538" i="1"/>
  <c r="B15950" i="1"/>
  <c r="B16265" i="1"/>
  <c r="B5641" i="1"/>
  <c r="B4383" i="1"/>
  <c r="B16743" i="1"/>
  <c r="B10950" i="1"/>
  <c r="B14598" i="1"/>
  <c r="B10753" i="1"/>
  <c r="B6867" i="1"/>
  <c r="B9989" i="1"/>
  <c r="B11761" i="1"/>
  <c r="B3255" i="1"/>
  <c r="B12836" i="1"/>
  <c r="B10287" i="1"/>
  <c r="B3653" i="1"/>
  <c r="B1806" i="1"/>
  <c r="B12659" i="1"/>
  <c r="B2792" i="1"/>
  <c r="B3926" i="1"/>
  <c r="B452" i="1"/>
  <c r="B3161" i="1"/>
  <c r="B3142" i="1"/>
  <c r="B10316" i="1"/>
  <c r="B4833" i="1"/>
  <c r="B10518" i="1"/>
  <c r="B2935" i="1"/>
  <c r="B12902" i="1"/>
  <c r="B13676" i="1"/>
  <c r="B12785" i="1"/>
  <c r="B10780" i="1"/>
  <c r="B13129" i="1"/>
  <c r="B4528" i="1"/>
  <c r="B1559" i="1"/>
  <c r="B13468" i="1"/>
  <c r="B3278" i="1"/>
  <c r="B16258" i="1"/>
  <c r="B12330" i="1"/>
  <c r="B15951" i="1"/>
  <c r="B2548" i="1"/>
  <c r="B3706" i="1"/>
  <c r="B2179" i="1"/>
  <c r="B3426" i="1"/>
  <c r="B1941" i="1"/>
  <c r="B4204" i="1"/>
  <c r="B2596" i="1"/>
  <c r="B4978" i="1"/>
  <c r="B10878" i="1"/>
  <c r="B13839" i="1"/>
  <c r="B4919" i="1"/>
  <c r="B140" i="1"/>
  <c r="B2647" i="1"/>
  <c r="B13804" i="1"/>
  <c r="B2365" i="1"/>
  <c r="B3695" i="1"/>
  <c r="B11457" i="1"/>
  <c r="B4046" i="1"/>
  <c r="B16475" i="1"/>
  <c r="B15901" i="1"/>
  <c r="B14627" i="1"/>
  <c r="B11339" i="1"/>
  <c r="B3703" i="1"/>
  <c r="B5966" i="1"/>
  <c r="B13136" i="1"/>
  <c r="B5993" i="1"/>
  <c r="B5974" i="1"/>
  <c r="B5961" i="1"/>
  <c r="B5917" i="1"/>
  <c r="B2497" i="1"/>
  <c r="B1816" i="1"/>
  <c r="B12583" i="1"/>
  <c r="B11712" i="1"/>
  <c r="B2954" i="1"/>
  <c r="B11516" i="1"/>
  <c r="B10111" i="1"/>
  <c r="B13112" i="1"/>
  <c r="B10814" i="1"/>
  <c r="B7707" i="1"/>
  <c r="B212" i="1"/>
  <c r="B13316" i="1"/>
  <c r="B9282" i="1"/>
  <c r="B13054" i="1"/>
  <c r="B1383" i="1"/>
  <c r="B3421" i="1"/>
  <c r="B11698" i="1"/>
  <c r="B14505" i="1"/>
  <c r="B2966" i="1"/>
  <c r="B10902" i="1"/>
  <c r="B4729" i="1"/>
  <c r="B11585" i="1"/>
  <c r="B9688" i="1"/>
  <c r="B2627" i="1"/>
  <c r="B15994" i="1"/>
  <c r="B8327" i="1"/>
  <c r="B14862" i="1"/>
  <c r="B12919" i="1"/>
  <c r="B3254" i="1"/>
  <c r="B12204" i="1"/>
  <c r="B14257" i="1"/>
  <c r="B8466" i="1"/>
  <c r="B7894" i="1"/>
  <c r="B12900" i="1"/>
  <c r="B4426" i="1"/>
  <c r="B11677" i="1"/>
  <c r="B5954" i="1"/>
  <c r="B4260" i="1"/>
  <c r="B10101" i="1"/>
  <c r="B9806" i="1"/>
  <c r="B10270" i="1"/>
  <c r="B11752" i="1"/>
  <c r="B2147" i="1"/>
  <c r="B3430" i="1"/>
  <c r="B6652" i="1"/>
  <c r="B13961" i="1"/>
  <c r="B2314" i="1"/>
  <c r="B16211" i="1"/>
  <c r="B2192" i="1"/>
  <c r="B12620" i="1"/>
  <c r="B12476" i="1"/>
  <c r="B13821" i="1"/>
  <c r="B13573" i="1"/>
  <c r="B12960" i="1"/>
  <c r="B5963" i="1"/>
  <c r="B17908" i="1"/>
  <c r="B13575" i="1"/>
  <c r="B11306" i="1"/>
  <c r="B10089" i="1"/>
  <c r="B10458" i="1"/>
  <c r="B2987" i="1"/>
  <c r="B13493" i="1"/>
  <c r="B12252" i="1"/>
  <c r="B10200" i="1"/>
  <c r="B7737" i="1"/>
  <c r="B2227" i="1"/>
  <c r="B6605" i="1"/>
  <c r="B12795" i="1"/>
  <c r="B14751" i="1"/>
  <c r="B5085" i="1"/>
  <c r="B10312" i="1"/>
  <c r="B6556" i="1"/>
  <c r="B15278" i="1"/>
  <c r="B3494" i="1"/>
  <c r="B16523" i="1"/>
  <c r="B13377" i="1"/>
  <c r="B8600" i="1"/>
  <c r="B10269" i="1"/>
  <c r="B7683" i="1"/>
  <c r="B13126" i="1"/>
  <c r="B12187" i="1"/>
  <c r="B10348" i="1"/>
  <c r="B12908" i="1"/>
  <c r="B16840" i="1"/>
  <c r="B11089" i="1"/>
  <c r="B7941" i="1"/>
  <c r="B14063" i="1"/>
  <c r="B3057" i="1"/>
  <c r="B4408" i="1"/>
  <c r="B11358" i="1"/>
  <c r="B7655" i="1"/>
  <c r="B2156" i="1"/>
  <c r="B4989" i="1"/>
  <c r="B10632" i="1"/>
  <c r="B14684" i="1"/>
  <c r="B2293" i="1"/>
  <c r="B6612" i="1"/>
  <c r="B3849" i="1"/>
  <c r="B3987" i="1"/>
  <c r="B4157" i="1"/>
  <c r="B11766" i="1"/>
  <c r="B4035" i="1"/>
  <c r="B6505" i="1"/>
  <c r="B10974" i="1"/>
  <c r="B14768" i="1"/>
  <c r="B1619" i="1"/>
  <c r="B8445" i="1"/>
  <c r="B15209" i="1"/>
  <c r="B7999" i="1"/>
  <c r="B5868" i="1"/>
  <c r="B5640" i="1"/>
  <c r="B3826" i="1"/>
  <c r="B12004" i="1"/>
  <c r="B12961" i="1"/>
  <c r="B12871" i="1"/>
  <c r="B13716" i="1"/>
  <c r="B1569" i="1"/>
  <c r="B10642" i="1"/>
  <c r="B2043" i="1"/>
  <c r="B13359" i="1"/>
  <c r="B2502" i="1"/>
  <c r="B5023" i="1"/>
  <c r="B13828" i="1"/>
  <c r="B6509" i="1"/>
  <c r="B11821" i="1"/>
  <c r="B3262" i="1"/>
  <c r="B10429" i="1"/>
  <c r="B11261" i="1"/>
  <c r="B13254" i="1"/>
  <c r="B12983" i="1"/>
  <c r="B13240" i="1"/>
  <c r="B13033" i="1"/>
  <c r="B14741" i="1"/>
  <c r="B2730" i="1"/>
  <c r="B4483" i="1"/>
  <c r="B13527" i="1"/>
  <c r="B12387" i="1"/>
  <c r="B10756" i="1"/>
  <c r="B4147" i="1"/>
  <c r="B12516" i="1"/>
  <c r="B14731" i="1"/>
  <c r="B11836" i="1"/>
  <c r="B6542" i="1"/>
  <c r="B16367" i="1"/>
  <c r="B7313" i="1"/>
  <c r="B14891" i="1"/>
  <c r="B575" i="1"/>
  <c r="B13491" i="1"/>
  <c r="B12726" i="1"/>
  <c r="B2286" i="1"/>
  <c r="B12213" i="1"/>
  <c r="B8630" i="1"/>
  <c r="B16244" i="1"/>
  <c r="B8100" i="1"/>
  <c r="B14042" i="1"/>
  <c r="B12753" i="1"/>
  <c r="B1261" i="1"/>
  <c r="B8502" i="1"/>
  <c r="B6856" i="1"/>
  <c r="B13928" i="1"/>
  <c r="B14337" i="1"/>
  <c r="B10541" i="1"/>
  <c r="B12531" i="1"/>
  <c r="B13517" i="1"/>
  <c r="B12111" i="1"/>
  <c r="B16344" i="1"/>
  <c r="B1840" i="1"/>
  <c r="B11104" i="1"/>
  <c r="B12299" i="1"/>
  <c r="B11183" i="1"/>
  <c r="B12136" i="1"/>
  <c r="B2242" i="1"/>
  <c r="B9928" i="1"/>
  <c r="B11885" i="1"/>
  <c r="B9933" i="1"/>
  <c r="B1742" i="1"/>
  <c r="B3498" i="1"/>
  <c r="B8253" i="1"/>
  <c r="B10565" i="1"/>
  <c r="B14780" i="1"/>
  <c r="B14699" i="1"/>
  <c r="B2326" i="1"/>
  <c r="B13220" i="1"/>
  <c r="B12456" i="1"/>
  <c r="B10450" i="1"/>
  <c r="B11944" i="1"/>
  <c r="B14686" i="1"/>
  <c r="B4340" i="1"/>
  <c r="B4673" i="1"/>
  <c r="B6917" i="1"/>
  <c r="B3863" i="1"/>
  <c r="B14062" i="1"/>
  <c r="B11252" i="1"/>
  <c r="B2578" i="1"/>
  <c r="B12745" i="1"/>
  <c r="B13158" i="1"/>
  <c r="B13687" i="1"/>
  <c r="B10261" i="1"/>
  <c r="B15308" i="1"/>
  <c r="B5392" i="1"/>
  <c r="B12058" i="1"/>
  <c r="B13690" i="1"/>
  <c r="B11874" i="1"/>
  <c r="B8368" i="1"/>
  <c r="B7874" i="1"/>
  <c r="B16477" i="1"/>
  <c r="B3385" i="1"/>
  <c r="B7713" i="1"/>
  <c r="B8135" i="1"/>
  <c r="B7793" i="1"/>
  <c r="B8200" i="1"/>
  <c r="B7993" i="1"/>
  <c r="B8206" i="1"/>
  <c r="B11494" i="1"/>
  <c r="B8717" i="1"/>
  <c r="B7801" i="1"/>
  <c r="B7985" i="1"/>
  <c r="B8012" i="1"/>
  <c r="B7686" i="1"/>
  <c r="B8331" i="1"/>
  <c r="B8143" i="1"/>
  <c r="B8149" i="1"/>
  <c r="B10617" i="1"/>
  <c r="B7986" i="1"/>
  <c r="B10375" i="1"/>
  <c r="B7123" i="1"/>
  <c r="B10937" i="1"/>
  <c r="B6331" i="1"/>
  <c r="B13743" i="1"/>
  <c r="B11324" i="1"/>
  <c r="B14859" i="1"/>
  <c r="B2844" i="1"/>
  <c r="B10243" i="1"/>
  <c r="B4058" i="1"/>
  <c r="B6160" i="1"/>
  <c r="B11571" i="1"/>
  <c r="B1518" i="1"/>
  <c r="B4001" i="1"/>
  <c r="B2663" i="1"/>
  <c r="B3402" i="1"/>
  <c r="B9316" i="1"/>
  <c r="B15960" i="1"/>
  <c r="B3934" i="1"/>
  <c r="B11187" i="1"/>
  <c r="B16209" i="1"/>
  <c r="B5306" i="1"/>
  <c r="B12164" i="1"/>
  <c r="B11905" i="1"/>
  <c r="B1873" i="1"/>
  <c r="B4155" i="1"/>
  <c r="B12978" i="1"/>
  <c r="B3675" i="1"/>
  <c r="B3848" i="1"/>
  <c r="B6057" i="1"/>
  <c r="B14885" i="1"/>
  <c r="B13044" i="1"/>
  <c r="B3014" i="1"/>
  <c r="B7145" i="1"/>
  <c r="B7852" i="1"/>
  <c r="B3448" i="1"/>
  <c r="B12331" i="1"/>
  <c r="B676" i="1"/>
  <c r="B14784" i="1"/>
  <c r="B14823" i="1"/>
  <c r="B11650" i="1"/>
  <c r="B5514" i="1"/>
  <c r="B10500" i="1"/>
  <c r="B10555" i="1"/>
  <c r="B11065" i="1"/>
  <c r="B4846" i="1"/>
  <c r="B15467" i="1"/>
  <c r="B8895" i="1"/>
  <c r="B15466" i="1"/>
  <c r="B7809" i="1"/>
  <c r="B6835" i="1"/>
  <c r="B15556" i="1"/>
  <c r="B13351" i="1"/>
  <c r="B4336" i="1"/>
  <c r="B8035" i="1"/>
  <c r="B8234" i="1"/>
  <c r="B2349" i="1"/>
  <c r="B3451" i="1"/>
  <c r="B3168" i="1"/>
  <c r="B1858" i="1"/>
  <c r="B13265" i="1"/>
  <c r="B10612" i="1"/>
  <c r="B13089" i="1"/>
  <c r="B7904" i="1"/>
  <c r="B9544" i="1"/>
  <c r="B1602" i="1"/>
  <c r="B3543" i="1"/>
  <c r="B11908" i="1"/>
  <c r="B10557" i="1"/>
  <c r="B1810" i="1"/>
  <c r="B10300" i="1"/>
  <c r="B2905" i="1"/>
  <c r="B13332" i="1"/>
  <c r="B13119" i="1"/>
  <c r="B11887" i="1"/>
  <c r="B10224" i="1"/>
  <c r="B5908" i="1"/>
  <c r="B1720" i="1"/>
  <c r="B16294" i="1"/>
  <c r="B4165" i="1"/>
  <c r="B7560" i="1"/>
  <c r="B6888" i="1"/>
  <c r="B1532" i="1"/>
  <c r="B7158" i="1"/>
  <c r="B6010" i="1"/>
  <c r="B15035" i="1"/>
  <c r="B410" i="1"/>
  <c r="B2872" i="1"/>
  <c r="B7175" i="1"/>
  <c r="B8523" i="1"/>
  <c r="B6539" i="1"/>
  <c r="B17951" i="1"/>
  <c r="B2609" i="1"/>
  <c r="B11248" i="1"/>
  <c r="B2758" i="1"/>
  <c r="B13898" i="1"/>
  <c r="B3771" i="1"/>
  <c r="B6811" i="1"/>
  <c r="B2520" i="1"/>
  <c r="B8300" i="1"/>
  <c r="B7130" i="1"/>
  <c r="B3777" i="1"/>
  <c r="B1892" i="1"/>
  <c r="B11979" i="1"/>
  <c r="B11088" i="1"/>
  <c r="B15511" i="1"/>
  <c r="B3547" i="1"/>
  <c r="B8192" i="1"/>
  <c r="B2834" i="1"/>
  <c r="B3956" i="1"/>
  <c r="B11238" i="1"/>
  <c r="B11607" i="1"/>
  <c r="B1888" i="1"/>
  <c r="B17959" i="1"/>
  <c r="B15089" i="1"/>
  <c r="B17844" i="1"/>
  <c r="B10279" i="1"/>
  <c r="B6857" i="1"/>
  <c r="B6685" i="1"/>
  <c r="B7565" i="1"/>
  <c r="B7923" i="1"/>
  <c r="B15393" i="1"/>
  <c r="B16319" i="1"/>
  <c r="B15672" i="1"/>
  <c r="B10573" i="1"/>
  <c r="B8775" i="1"/>
  <c r="B2857" i="1"/>
  <c r="B1862" i="1"/>
  <c r="B14624" i="1"/>
  <c r="B9923" i="1"/>
  <c r="B11235" i="1"/>
  <c r="B15940" i="1"/>
  <c r="B15458" i="1"/>
  <c r="B9778" i="1"/>
  <c r="B10475" i="1"/>
  <c r="B5745" i="1"/>
  <c r="B5786" i="1"/>
  <c r="B5777" i="1"/>
  <c r="B5525" i="1"/>
  <c r="B5710" i="1"/>
  <c r="B5597" i="1"/>
  <c r="B5708" i="1"/>
  <c r="B5717" i="1"/>
  <c r="B5648" i="1"/>
  <c r="B5771" i="1"/>
  <c r="B5725" i="1"/>
  <c r="B5542" i="1"/>
  <c r="B5709" i="1"/>
  <c r="B5694" i="1"/>
  <c r="B5212" i="1"/>
  <c r="B7046" i="1"/>
  <c r="B12562" i="1"/>
  <c r="B10567" i="1"/>
  <c r="B3227" i="1"/>
  <c r="B13056" i="1"/>
  <c r="B9788" i="1"/>
  <c r="B17306" i="1"/>
  <c r="B1576" i="1"/>
  <c r="B1733" i="1"/>
  <c r="B4476" i="1"/>
  <c r="B2219" i="1"/>
  <c r="B1565" i="1"/>
  <c r="B14197" i="1"/>
  <c r="B15236" i="1"/>
  <c r="B1448" i="1"/>
  <c r="B1872" i="1"/>
  <c r="B8891" i="1"/>
  <c r="B13720" i="1"/>
  <c r="B606" i="1"/>
  <c r="B7552" i="1"/>
  <c r="B12645" i="1"/>
  <c r="B6613" i="1"/>
  <c r="B11327" i="1"/>
  <c r="B2699" i="1"/>
  <c r="B3754" i="1"/>
  <c r="B8564" i="1"/>
  <c r="B11262" i="1"/>
  <c r="B7847" i="1"/>
  <c r="B8401" i="1"/>
  <c r="B12603" i="1"/>
  <c r="B519" i="1"/>
  <c r="B10249" i="1"/>
  <c r="B14296" i="1"/>
  <c r="B10527" i="1"/>
  <c r="B7459" i="1"/>
  <c r="B9298" i="1"/>
  <c r="B728" i="1"/>
  <c r="B14276" i="1"/>
  <c r="B9075" i="1"/>
  <c r="B12503" i="1"/>
  <c r="B5438" i="1"/>
  <c r="B4342" i="1"/>
  <c r="B15750" i="1"/>
  <c r="B3037" i="1"/>
  <c r="B15215" i="1"/>
  <c r="B2140" i="1"/>
  <c r="B4862" i="1"/>
  <c r="B11966" i="1"/>
  <c r="B480" i="1"/>
  <c r="B5953" i="1"/>
  <c r="B17907" i="1"/>
  <c r="B7298" i="1"/>
  <c r="B11960" i="1"/>
  <c r="B8956" i="1"/>
  <c r="B12714" i="1"/>
  <c r="B7399" i="1"/>
  <c r="B8271" i="1"/>
  <c r="B7381" i="1"/>
  <c r="B7154" i="1"/>
  <c r="B400" i="1"/>
  <c r="B13392" i="1"/>
  <c r="B6156" i="1"/>
  <c r="B10234" i="1"/>
  <c r="B5167" i="1"/>
  <c r="B13929" i="1"/>
  <c r="B13405" i="1"/>
  <c r="B3638" i="1"/>
  <c r="B14602" i="1"/>
  <c r="B5390" i="1"/>
  <c r="B3534" i="1"/>
  <c r="B6488" i="1"/>
  <c r="B1514" i="1"/>
  <c r="B9714" i="1"/>
  <c r="B10855" i="1"/>
  <c r="B6608" i="1"/>
  <c r="B13771" i="1"/>
  <c r="B12242" i="1"/>
  <c r="B74" i="1"/>
  <c r="B12703" i="1"/>
  <c r="B850" i="1"/>
  <c r="B17692" i="1"/>
  <c r="B10725" i="1"/>
  <c r="B16129" i="1"/>
  <c r="B8873" i="1"/>
  <c r="B14288" i="1"/>
  <c r="B3411" i="1"/>
  <c r="B4509" i="1"/>
  <c r="B3537" i="1"/>
  <c r="B4939" i="1"/>
  <c r="B3663" i="1"/>
  <c r="B3217" i="1"/>
  <c r="B1708" i="1"/>
  <c r="B10698" i="1"/>
  <c r="B10550" i="1"/>
  <c r="B9223" i="1"/>
  <c r="B12412" i="1"/>
  <c r="B2824" i="1"/>
  <c r="B14986" i="1"/>
  <c r="B10330" i="1"/>
  <c r="B13381" i="1"/>
  <c r="B5301" i="1"/>
  <c r="B11939" i="1"/>
  <c r="B13981" i="1"/>
  <c r="B1318" i="1"/>
  <c r="B13144" i="1"/>
  <c r="B6725" i="1"/>
  <c r="B12882" i="1"/>
  <c r="B6897" i="1"/>
  <c r="B12358" i="1"/>
  <c r="B3786" i="1"/>
  <c r="B11076" i="1"/>
  <c r="B13778" i="1"/>
  <c r="B3882" i="1"/>
  <c r="B7390" i="1"/>
  <c r="B3555" i="1"/>
  <c r="B5211" i="1"/>
  <c r="B345" i="1"/>
  <c r="B14933" i="1"/>
  <c r="B6768" i="1"/>
  <c r="B11476" i="1"/>
  <c r="B7107" i="1"/>
  <c r="B2112" i="1"/>
  <c r="B2813" i="1"/>
  <c r="B2270" i="1"/>
  <c r="B6679" i="1"/>
  <c r="B8283" i="1"/>
  <c r="B1541" i="1"/>
  <c r="B1834" i="1"/>
  <c r="B3173" i="1"/>
  <c r="B8089" i="1"/>
  <c r="B8090" i="1"/>
  <c r="B8080" i="1"/>
  <c r="B8091" i="1"/>
  <c r="B5919" i="1"/>
  <c r="B12776" i="1"/>
  <c r="B2088" i="1"/>
  <c r="B5902" i="1"/>
  <c r="B7184" i="1"/>
  <c r="B8087" i="1"/>
  <c r="B6641" i="1"/>
  <c r="B3807" i="1"/>
  <c r="B13435" i="1"/>
  <c r="B13893" i="1"/>
  <c r="B8622" i="1"/>
  <c r="B12319" i="1"/>
  <c r="B2914" i="1"/>
  <c r="B1836" i="1"/>
  <c r="B13559" i="1"/>
  <c r="B12796" i="1"/>
  <c r="B2906" i="1"/>
  <c r="B319" i="1"/>
  <c r="B266" i="1"/>
  <c r="B9160" i="1"/>
  <c r="B10214" i="1"/>
  <c r="B13051" i="1"/>
  <c r="B9106" i="1"/>
  <c r="B142" i="1"/>
  <c r="B7654" i="1"/>
  <c r="B4411" i="1"/>
  <c r="B7666" i="1"/>
  <c r="B3620" i="1"/>
  <c r="B16165" i="1"/>
  <c r="B11428" i="1"/>
  <c r="B15633" i="1"/>
  <c r="B10085" i="1"/>
  <c r="B3330" i="1"/>
  <c r="B11770" i="1"/>
  <c r="B5129" i="1"/>
  <c r="B3880" i="1"/>
  <c r="B4112" i="1"/>
  <c r="B2483" i="1"/>
  <c r="B13233" i="1"/>
  <c r="B4594" i="1"/>
  <c r="B12124" i="1"/>
  <c r="B11963" i="1"/>
  <c r="B3684" i="1"/>
  <c r="B15883" i="1"/>
  <c r="B1496" i="1"/>
  <c r="B4573" i="1"/>
  <c r="B940" i="1"/>
  <c r="B3883" i="1"/>
  <c r="B2820" i="1"/>
  <c r="B1396" i="1"/>
  <c r="B4809" i="1"/>
  <c r="B1399" i="1"/>
  <c r="B7657" i="1"/>
  <c r="B4700" i="1"/>
  <c r="B4857" i="1"/>
  <c r="B12141" i="1"/>
  <c r="B11199" i="1"/>
  <c r="B4217" i="1"/>
  <c r="B13115" i="1"/>
  <c r="B12044" i="1"/>
  <c r="B1106" i="1"/>
  <c r="B15832" i="1"/>
  <c r="B1077" i="1"/>
  <c r="B10693" i="1"/>
  <c r="B4766" i="1"/>
  <c r="B13912" i="1"/>
  <c r="B12849" i="1"/>
  <c r="B17206" i="1"/>
  <c r="B3617" i="1"/>
  <c r="B2077" i="1"/>
  <c r="B5207" i="1"/>
  <c r="B2287" i="1"/>
  <c r="B7734" i="1"/>
  <c r="B2025" i="1"/>
  <c r="B13595" i="1"/>
  <c r="B4150" i="1"/>
  <c r="B14050" i="1"/>
  <c r="B5116" i="1"/>
  <c r="B14831" i="1"/>
  <c r="B2949" i="1"/>
  <c r="B1243" i="1"/>
  <c r="B4592" i="1"/>
  <c r="B4463" i="1"/>
  <c r="B12480" i="1"/>
  <c r="B1982" i="1"/>
  <c r="B10401" i="1"/>
  <c r="B12241" i="1"/>
  <c r="B10832" i="1"/>
  <c r="B6943" i="1"/>
  <c r="B6786" i="1"/>
  <c r="B13708" i="1"/>
  <c r="B76" i="1"/>
  <c r="B11663" i="1"/>
  <c r="B2033" i="1"/>
  <c r="B4346" i="1"/>
  <c r="B14109" i="1"/>
  <c r="B10464" i="1"/>
  <c r="B2592" i="1"/>
  <c r="B2062" i="1"/>
  <c r="B6566" i="1"/>
  <c r="B4414" i="1"/>
  <c r="B2525" i="1"/>
  <c r="B10280" i="1"/>
  <c r="B6014" i="1"/>
  <c r="B17765" i="1"/>
  <c r="B7518" i="1"/>
  <c r="B2257" i="1"/>
  <c r="B4368" i="1"/>
  <c r="B2693" i="1"/>
  <c r="B4552" i="1"/>
  <c r="B2825" i="1"/>
  <c r="B16342" i="1"/>
  <c r="B10362" i="1"/>
  <c r="B7804" i="1"/>
  <c r="B7543" i="1"/>
  <c r="B11148" i="1"/>
  <c r="B6700" i="1"/>
  <c r="B3981" i="1"/>
  <c r="B213" i="1"/>
  <c r="B666" i="1"/>
  <c r="B4274" i="1"/>
  <c r="B12216" i="1"/>
  <c r="B10377" i="1"/>
  <c r="B3272" i="1"/>
  <c r="B1585" i="1"/>
  <c r="B8862" i="1"/>
  <c r="B12791" i="1"/>
  <c r="B13090" i="1"/>
  <c r="B11825" i="1"/>
  <c r="B12012" i="1"/>
  <c r="B12582" i="1"/>
  <c r="B12226" i="1"/>
  <c r="B13320" i="1"/>
  <c r="B13459" i="1"/>
  <c r="B3422" i="1"/>
  <c r="B14628" i="1"/>
  <c r="B12254" i="1"/>
  <c r="B14433" i="1"/>
  <c r="B12642" i="1"/>
  <c r="B2686" i="1"/>
  <c r="B1395" i="1"/>
  <c r="B4123" i="1"/>
  <c r="B3813" i="1"/>
  <c r="B14401" i="1"/>
  <c r="B1885" i="1"/>
  <c r="B2428" i="1"/>
  <c r="B12168" i="1"/>
  <c r="B3228" i="1"/>
  <c r="B2888" i="1"/>
  <c r="B6728" i="1"/>
  <c r="B1449" i="1"/>
  <c r="B2866" i="1"/>
  <c r="B13326" i="1"/>
  <c r="B16141" i="1"/>
  <c r="B5219" i="1"/>
  <c r="B4212" i="1"/>
  <c r="B5054" i="1"/>
  <c r="B12656" i="1"/>
  <c r="B12368" i="1"/>
  <c r="B3331" i="1"/>
  <c r="B12232" i="1"/>
  <c r="B3586" i="1"/>
  <c r="B12877" i="1"/>
  <c r="B15935" i="1"/>
  <c r="B5114" i="1"/>
  <c r="B6755" i="1"/>
  <c r="B764" i="1"/>
  <c r="B12249" i="1"/>
  <c r="B10434" i="1"/>
  <c r="B3229" i="1"/>
  <c r="B12615" i="1"/>
  <c r="B12363" i="1"/>
  <c r="B14632" i="1"/>
  <c r="B1353" i="1"/>
  <c r="B6825" i="1"/>
  <c r="B15903" i="1"/>
  <c r="B7224" i="1"/>
  <c r="B17886" i="1"/>
  <c r="B2637" i="1"/>
  <c r="B13631" i="1"/>
  <c r="B1988" i="1"/>
  <c r="B10708" i="1"/>
  <c r="B784" i="1"/>
  <c r="B3760" i="1"/>
  <c r="B13292" i="1"/>
  <c r="B10034" i="1"/>
  <c r="B13309" i="1"/>
  <c r="B5319" i="1"/>
  <c r="B6394" i="1"/>
  <c r="B13149" i="1"/>
  <c r="B12893" i="1"/>
  <c r="B7157" i="1"/>
  <c r="B10374" i="1"/>
  <c r="B15052" i="1"/>
  <c r="B3773" i="1"/>
  <c r="B10611" i="1"/>
  <c r="B10640" i="1"/>
  <c r="B7662" i="1"/>
  <c r="B2160" i="1"/>
  <c r="B1350" i="1"/>
  <c r="B1963" i="1"/>
  <c r="B4927" i="1"/>
  <c r="B2793" i="1"/>
  <c r="B14625" i="1"/>
  <c r="B12743" i="1"/>
  <c r="B6287" i="1"/>
  <c r="B12421" i="1"/>
  <c r="B271" i="1"/>
  <c r="B2339" i="1"/>
  <c r="B12195" i="1"/>
  <c r="B4780" i="1"/>
  <c r="B12176" i="1"/>
  <c r="B1528" i="1"/>
  <c r="B14564" i="1"/>
  <c r="B11974" i="1"/>
  <c r="B10957" i="1"/>
  <c r="B17189" i="1"/>
  <c r="B517" i="1"/>
  <c r="B11627" i="1"/>
  <c r="B11462" i="1"/>
  <c r="B11530" i="1"/>
  <c r="B11540" i="1"/>
  <c r="B11733" i="1"/>
  <c r="B8623" i="1"/>
  <c r="B1549" i="1"/>
  <c r="B6062" i="1"/>
  <c r="B10099" i="1"/>
  <c r="B14880" i="1"/>
  <c r="B1529" i="1"/>
  <c r="B15678" i="1"/>
  <c r="B539" i="1"/>
  <c r="B17286" i="1"/>
  <c r="B12455" i="1"/>
  <c r="B5242" i="1"/>
  <c r="B11693" i="1"/>
  <c r="B3556" i="1"/>
  <c r="B17618" i="1"/>
  <c r="B7961" i="1"/>
  <c r="B3174" i="1"/>
  <c r="B17256" i="1"/>
  <c r="B15439" i="1"/>
  <c r="B6702" i="1"/>
  <c r="B12708" i="1"/>
  <c r="B11647" i="1"/>
  <c r="B5179" i="1"/>
  <c r="B1563" i="1"/>
  <c r="B4333" i="1"/>
  <c r="B10276" i="1"/>
  <c r="B7641" i="1"/>
  <c r="B4944" i="1"/>
  <c r="B12525" i="1"/>
  <c r="B12479" i="1"/>
  <c r="B3046" i="1"/>
  <c r="B5385" i="1"/>
  <c r="B17644" i="1"/>
  <c r="B2997" i="1"/>
  <c r="B7610" i="1"/>
  <c r="B4735" i="1"/>
  <c r="B3588" i="1"/>
  <c r="B14100" i="1"/>
  <c r="B1368" i="1"/>
  <c r="B4067" i="1"/>
  <c r="B11033" i="1"/>
  <c r="B4697" i="1"/>
  <c r="B1026" i="1"/>
  <c r="B10852" i="1"/>
  <c r="B2956" i="1"/>
  <c r="B202" i="1"/>
  <c r="B1900" i="1"/>
  <c r="B11965" i="1"/>
  <c r="B2507" i="1"/>
  <c r="B10507" i="1"/>
  <c r="B8881" i="1"/>
  <c r="B12848" i="1"/>
  <c r="B12626" i="1"/>
  <c r="B10004" i="1"/>
  <c r="B2732" i="1"/>
  <c r="B14584" i="1"/>
  <c r="B10638" i="1"/>
  <c r="B6861" i="1"/>
  <c r="B12982" i="1"/>
  <c r="B6870" i="1"/>
  <c r="B1312" i="1"/>
  <c r="B13260" i="1"/>
  <c r="B15200" i="1"/>
  <c r="B13598" i="1"/>
  <c r="B3542" i="1"/>
  <c r="B9215" i="1"/>
  <c r="B3312" i="1"/>
  <c r="B1017" i="1"/>
  <c r="B11168" i="1"/>
  <c r="B6079" i="1"/>
  <c r="B12947" i="1"/>
  <c r="B13146" i="1"/>
  <c r="B13062" i="1"/>
  <c r="B12773" i="1"/>
  <c r="B11890" i="1"/>
  <c r="B1850" i="1"/>
  <c r="B1068" i="1"/>
  <c r="B3921" i="1"/>
  <c r="B5394" i="1"/>
  <c r="B17901" i="1"/>
  <c r="B16352" i="1"/>
  <c r="B11325" i="1"/>
  <c r="B14727" i="1"/>
  <c r="B2256" i="1"/>
  <c r="B6217" i="1"/>
  <c r="B6729" i="1"/>
  <c r="B15840" i="1"/>
  <c r="B12579" i="1"/>
  <c r="B1955" i="1"/>
  <c r="B12424" i="1"/>
  <c r="B3954" i="1"/>
  <c r="B11786" i="1"/>
  <c r="B4764" i="1"/>
  <c r="B7877" i="1"/>
  <c r="B1938" i="1"/>
  <c r="B12399" i="1"/>
  <c r="B13604" i="1"/>
  <c r="B11263" i="1"/>
  <c r="B3327" i="1"/>
  <c r="B3927" i="1"/>
  <c r="B10655" i="1"/>
  <c r="B10635" i="1"/>
  <c r="B12426" i="1"/>
  <c r="B10488" i="1"/>
  <c r="B10666" i="1"/>
  <c r="B13028" i="1"/>
  <c r="B5362" i="1"/>
  <c r="B1099" i="1"/>
  <c r="B64" i="1"/>
  <c r="B3431" i="1"/>
  <c r="B11447" i="1"/>
  <c r="B10662" i="1"/>
  <c r="B6464" i="1"/>
  <c r="B11188" i="1"/>
  <c r="B13009" i="1"/>
  <c r="B3445" i="1"/>
  <c r="B1235" i="1"/>
  <c r="B6757" i="1"/>
  <c r="B2026" i="1"/>
  <c r="B13937" i="1"/>
  <c r="B3120" i="1"/>
  <c r="B11824" i="1"/>
  <c r="B5186" i="1"/>
  <c r="B3124" i="1"/>
  <c r="B5548" i="1"/>
  <c r="B12230" i="1"/>
  <c r="B13829" i="1"/>
  <c r="B6560" i="1"/>
  <c r="B2549" i="1"/>
  <c r="B3162" i="1"/>
  <c r="B2367" i="1"/>
  <c r="B9303" i="1"/>
  <c r="B13722" i="1"/>
  <c r="B223" i="1"/>
  <c r="B2697" i="1"/>
  <c r="B4964" i="1"/>
  <c r="B13182" i="1"/>
  <c r="B13428" i="1"/>
  <c r="B5049" i="1"/>
  <c r="B17913" i="1"/>
  <c r="B5039" i="1"/>
  <c r="B4389" i="1"/>
  <c r="B14735" i="1"/>
  <c r="B12022" i="1"/>
  <c r="B11391" i="1"/>
  <c r="B7821" i="1"/>
  <c r="B4998" i="1"/>
  <c r="B1517" i="1"/>
  <c r="B3702" i="1"/>
  <c r="B11380" i="1"/>
  <c r="B7909" i="1"/>
  <c r="B10204" i="1"/>
  <c r="B13058" i="1"/>
  <c r="B10773" i="1"/>
  <c r="B14284" i="1"/>
  <c r="B8367" i="1"/>
  <c r="B4987" i="1"/>
  <c r="B1726" i="1"/>
  <c r="B14309" i="1"/>
  <c r="B7047" i="1"/>
  <c r="B974" i="1"/>
  <c r="B1824" i="1"/>
  <c r="B10684" i="1"/>
  <c r="B8505" i="1"/>
  <c r="B9154" i="1"/>
  <c r="B5373" i="1"/>
  <c r="B3639" i="1"/>
  <c r="B4681" i="1"/>
  <c r="B2039" i="1"/>
  <c r="B66" i="1"/>
  <c r="B3720" i="1"/>
  <c r="B17360" i="1"/>
  <c r="B904" i="1"/>
  <c r="B11658" i="1"/>
  <c r="B7980" i="1"/>
  <c r="B3627" i="1"/>
  <c r="B10421" i="1"/>
  <c r="B2181" i="1"/>
  <c r="B16880" i="1"/>
  <c r="B1910" i="1"/>
  <c r="B5988" i="1"/>
  <c r="B11500" i="1"/>
  <c r="B11889" i="1"/>
  <c r="B7045" i="1"/>
  <c r="B13663" i="1"/>
  <c r="B12608" i="1"/>
  <c r="B8039" i="1"/>
  <c r="B12181" i="1"/>
  <c r="B5429" i="1"/>
  <c r="B12625" i="1"/>
  <c r="B5125" i="1"/>
  <c r="B4661" i="1"/>
  <c r="B9808" i="1"/>
  <c r="B3087" i="1"/>
  <c r="B12104" i="1"/>
  <c r="B8098" i="1"/>
  <c r="B13540" i="1"/>
  <c r="B1698" i="1"/>
  <c r="B14978" i="1"/>
  <c r="B6110" i="1"/>
  <c r="B2123" i="1"/>
  <c r="B12235" i="1"/>
  <c r="B2763" i="1"/>
  <c r="B3390" i="1"/>
  <c r="B12494" i="1"/>
  <c r="B4343" i="1"/>
  <c r="B13388" i="1"/>
  <c r="B3816" i="1"/>
  <c r="B3393" i="1"/>
  <c r="B12386" i="1"/>
  <c r="B10830" i="1"/>
  <c r="B12178" i="1"/>
  <c r="B11471" i="1"/>
  <c r="B12754" i="1"/>
  <c r="B13775" i="1"/>
  <c r="B6872" i="1"/>
  <c r="B3795" i="1"/>
  <c r="B1513" i="1"/>
  <c r="B13148" i="1"/>
  <c r="B2741" i="1"/>
  <c r="B3910" i="1"/>
  <c r="B1293" i="1"/>
  <c r="B6367" i="1"/>
  <c r="B1241" i="1"/>
  <c r="B7681" i="1"/>
  <c r="B9920" i="1"/>
  <c r="B13962" i="1"/>
  <c r="B5041" i="1"/>
  <c r="B3805" i="1"/>
  <c r="B1280" i="1"/>
  <c r="B13075" i="1"/>
  <c r="B8256" i="1"/>
  <c r="B15416" i="1"/>
  <c r="B4427" i="1"/>
  <c r="B2178" i="1"/>
  <c r="B5162" i="1"/>
  <c r="B2369" i="1"/>
  <c r="B2169" i="1"/>
  <c r="B10934" i="1"/>
  <c r="B2893" i="1"/>
  <c r="B4169" i="1"/>
  <c r="B13319" i="1"/>
  <c r="B10705" i="1"/>
  <c r="B7036" i="1"/>
  <c r="B7064" i="1"/>
  <c r="B9044" i="1"/>
  <c r="B13525" i="1"/>
  <c r="B6771" i="1"/>
  <c r="B944" i="1"/>
  <c r="B7460" i="1"/>
  <c r="B8074" i="1"/>
  <c r="B873" i="1"/>
  <c r="B141" i="1"/>
  <c r="B13590" i="1"/>
  <c r="B14262" i="1"/>
  <c r="B2173" i="1"/>
  <c r="B12223" i="1"/>
  <c r="B9745" i="1"/>
  <c r="B14356" i="1"/>
  <c r="B8944" i="1"/>
  <c r="B11851" i="1"/>
  <c r="B2848" i="1"/>
  <c r="B3463" i="1"/>
  <c r="B2713" i="1"/>
  <c r="B8111" i="1"/>
  <c r="B11029" i="1"/>
  <c r="B2334" i="1"/>
  <c r="B13239" i="1"/>
  <c r="B8175" i="1"/>
  <c r="B4409" i="1"/>
  <c r="B7040" i="1"/>
  <c r="B13055" i="1"/>
  <c r="B6570" i="1"/>
  <c r="B7384" i="1"/>
  <c r="B13225" i="1"/>
  <c r="B4513" i="1"/>
  <c r="B4562" i="1"/>
  <c r="B5474" i="1"/>
  <c r="B4707" i="1"/>
  <c r="B4384" i="1"/>
  <c r="B10325" i="1"/>
  <c r="B3515" i="1"/>
  <c r="B15726" i="1"/>
  <c r="B11682" i="1"/>
  <c r="B10724" i="1"/>
  <c r="B2920" i="1"/>
  <c r="B12371" i="1"/>
  <c r="B10665" i="1"/>
  <c r="B10120" i="1"/>
  <c r="B11632" i="1"/>
  <c r="B4995" i="1"/>
  <c r="B6763" i="1"/>
  <c r="B6764" i="1"/>
  <c r="B11931" i="1"/>
  <c r="B11692" i="1"/>
  <c r="B14708" i="1"/>
  <c r="B4424" i="1"/>
  <c r="B5001" i="1"/>
  <c r="B13674" i="1"/>
  <c r="B3958" i="1"/>
  <c r="B8195" i="1"/>
  <c r="B11213" i="1"/>
  <c r="B10207" i="1"/>
  <c r="B5240" i="1"/>
  <c r="B17820" i="1"/>
  <c r="B4709" i="1"/>
  <c r="B12466" i="1"/>
  <c r="B6490" i="1"/>
  <c r="B6596" i="1"/>
  <c r="B14881" i="1"/>
  <c r="B3842" i="1"/>
  <c r="B12321" i="1"/>
  <c r="B4323" i="1"/>
  <c r="B11025" i="1"/>
  <c r="B23" i="1"/>
  <c r="B11195" i="1"/>
  <c r="B752" i="1"/>
  <c r="B16232" i="1"/>
  <c r="B14680" i="1"/>
  <c r="B11915" i="1"/>
  <c r="B1616" i="1"/>
  <c r="B3540" i="1"/>
  <c r="B3244" i="1"/>
  <c r="B3764" i="1"/>
  <c r="B6359" i="1"/>
  <c r="B4224" i="1"/>
  <c r="B3427" i="1"/>
  <c r="B4945" i="1"/>
  <c r="B4122" i="1"/>
  <c r="B3933" i="1"/>
  <c r="B4201" i="1"/>
  <c r="B10834" i="1"/>
  <c r="B3724" i="1"/>
  <c r="B12592" i="1"/>
  <c r="B14763" i="1"/>
  <c r="B12757" i="1"/>
  <c r="B3898" i="1"/>
  <c r="B13199" i="1"/>
  <c r="B10260" i="1"/>
  <c r="B12857" i="1"/>
  <c r="B14271" i="1"/>
  <c r="B933" i="1"/>
  <c r="B1223" i="1"/>
  <c r="B10910" i="1"/>
  <c r="B10804" i="1"/>
  <c r="B3341" i="1"/>
  <c r="B2282" i="1"/>
  <c r="B11563" i="1"/>
  <c r="B1644" i="1"/>
  <c r="B8065" i="1"/>
  <c r="B12160" i="1"/>
  <c r="B16054" i="1"/>
  <c r="B11711" i="1"/>
  <c r="B11860" i="1"/>
  <c r="B10896" i="1"/>
  <c r="B11396" i="1"/>
  <c r="B8339" i="1"/>
  <c r="B8075" i="1"/>
  <c r="B15321" i="1"/>
  <c r="B2103" i="1"/>
  <c r="B856" i="1"/>
  <c r="B3733" i="1"/>
  <c r="B8107" i="1"/>
  <c r="B16086" i="1"/>
  <c r="B11368" i="1"/>
  <c r="B11051" i="1"/>
  <c r="B11676" i="1"/>
  <c r="B12267" i="1"/>
  <c r="B11330" i="1"/>
  <c r="B11336" i="1"/>
  <c r="B12382" i="1"/>
  <c r="B5225" i="1"/>
  <c r="B4160" i="1"/>
  <c r="B5187" i="1"/>
  <c r="B3159" i="1"/>
  <c r="B15928" i="1"/>
  <c r="B11601" i="1"/>
  <c r="B11934" i="1"/>
  <c r="B4385" i="1"/>
  <c r="B3446" i="1"/>
  <c r="B6515" i="1"/>
  <c r="B1176" i="1"/>
  <c r="B4719" i="1"/>
  <c r="B11640" i="1"/>
  <c r="B6770" i="1"/>
  <c r="B1815" i="1"/>
  <c r="B12599" i="1"/>
  <c r="B12813" i="1"/>
  <c r="B4695" i="1"/>
  <c r="B11198" i="1"/>
  <c r="B1755" i="1"/>
  <c r="B12465" i="1"/>
  <c r="B12572" i="1"/>
  <c r="B7125" i="1"/>
  <c r="B1805" i="1"/>
  <c r="B1345" i="1"/>
  <c r="B14762" i="1"/>
  <c r="B14836" i="1"/>
  <c r="B11575" i="1"/>
  <c r="B1479" i="1"/>
  <c r="B5113" i="1"/>
  <c r="B14689" i="1"/>
  <c r="B12477" i="1"/>
  <c r="B2276" i="1"/>
  <c r="B14046" i="1"/>
  <c r="B1821" i="1"/>
  <c r="B203" i="1"/>
  <c r="B11914" i="1"/>
  <c r="B2002" i="1"/>
  <c r="B5298" i="1"/>
  <c r="B3126" i="1"/>
  <c r="B15573" i="1"/>
  <c r="B13803" i="1"/>
  <c r="B3668" i="1"/>
  <c r="B2193" i="1"/>
  <c r="B16633" i="1"/>
  <c r="B8443" i="1"/>
  <c r="B4027" i="1"/>
  <c r="B446" i="1"/>
  <c r="B6258" i="1"/>
  <c r="B10304" i="1"/>
  <c r="B8115" i="1"/>
  <c r="B3051" i="1"/>
  <c r="B3127" i="1"/>
  <c r="B15813" i="1"/>
  <c r="B10239" i="1"/>
  <c r="B11842" i="1"/>
  <c r="B11205" i="1"/>
  <c r="B11604" i="1"/>
  <c r="B7414" i="1"/>
  <c r="B15572" i="1"/>
  <c r="B7422" i="1"/>
  <c r="B10051" i="1"/>
  <c r="B11241" i="1"/>
  <c r="B7406" i="1"/>
  <c r="B15921" i="1"/>
  <c r="B17978" i="1"/>
  <c r="B6601" i="1"/>
  <c r="B2202" i="1"/>
  <c r="B5338" i="1"/>
  <c r="B13016" i="1"/>
  <c r="B1831" i="1"/>
  <c r="B15081" i="1"/>
  <c r="B7595" i="1"/>
  <c r="B7424" i="1"/>
  <c r="B13120" i="1"/>
  <c r="B3894" i="1"/>
  <c r="B6672" i="1"/>
  <c r="B2557" i="1"/>
  <c r="B6603" i="1"/>
  <c r="B6718" i="1"/>
  <c r="B5892" i="1"/>
  <c r="B1709" i="1"/>
  <c r="B6624" i="1"/>
  <c r="B6663" i="1"/>
  <c r="B11122" i="1"/>
  <c r="B1830" i="1"/>
  <c r="B13637" i="1"/>
  <c r="B10915" i="1"/>
  <c r="B3855" i="1"/>
  <c r="B11865" i="1"/>
  <c r="B9315" i="1"/>
  <c r="B5052" i="1"/>
  <c r="B11774" i="1"/>
  <c r="B10811" i="1"/>
  <c r="B5511" i="1"/>
  <c r="B3447" i="1"/>
  <c r="B2745" i="1"/>
  <c r="B6495" i="1"/>
  <c r="B12683" i="1"/>
  <c r="B16340" i="1"/>
  <c r="B1252" i="1"/>
  <c r="B3862" i="1"/>
  <c r="B9229" i="1"/>
  <c r="B13423" i="1"/>
  <c r="B9376" i="1"/>
  <c r="B3539" i="1"/>
  <c r="B15716" i="1"/>
  <c r="B12027" i="1"/>
  <c r="B4317" i="1"/>
  <c r="B1035" i="1"/>
  <c r="B2814" i="1"/>
  <c r="B15002" i="1"/>
  <c r="B1556" i="1"/>
  <c r="B7784" i="1"/>
  <c r="B15095" i="1"/>
  <c r="B12482" i="1"/>
  <c r="B6995" i="1"/>
  <c r="B13683" i="1"/>
  <c r="B2728" i="1"/>
  <c r="B11460" i="1"/>
  <c r="B11273" i="1"/>
  <c r="B6075" i="1"/>
  <c r="B1158" i="1"/>
  <c r="B8056" i="1"/>
  <c r="B12275" i="1"/>
  <c r="B4652" i="1"/>
  <c r="B4958" i="1"/>
  <c r="B12552" i="1"/>
  <c r="B9433" i="1"/>
  <c r="B3746" i="1"/>
  <c r="B11625" i="1"/>
  <c r="B4072" i="1"/>
  <c r="B4859" i="1"/>
  <c r="B15084" i="1"/>
  <c r="B7483" i="1"/>
  <c r="B11218" i="1"/>
  <c r="B11475" i="1"/>
  <c r="B11951" i="1"/>
  <c r="B3407" i="1"/>
  <c r="B11739" i="1"/>
  <c r="B12245" i="1"/>
  <c r="B1847" i="1"/>
  <c r="B10706" i="1"/>
  <c r="B8058" i="1"/>
  <c r="B11920" i="1"/>
  <c r="B11230" i="1"/>
  <c r="B12575" i="1"/>
  <c r="B12701" i="1"/>
  <c r="B10732" i="1"/>
  <c r="B1966" i="1"/>
  <c r="B11846" i="1"/>
  <c r="B11028" i="1"/>
  <c r="B7929" i="1"/>
  <c r="B7951" i="1"/>
  <c r="B3598" i="1"/>
  <c r="B13692" i="1"/>
  <c r="B13777" i="1"/>
  <c r="B10712" i="1"/>
  <c r="B3474" i="1"/>
  <c r="B3564" i="1"/>
  <c r="B14931" i="1"/>
  <c r="B11901" i="1"/>
  <c r="B12556" i="1"/>
  <c r="B4660" i="1"/>
  <c r="B11425" i="1"/>
  <c r="B5811" i="1"/>
  <c r="B12357" i="1"/>
  <c r="B10054" i="1"/>
  <c r="B2778" i="1"/>
  <c r="B10747" i="1"/>
  <c r="B15569" i="1"/>
  <c r="B3970" i="1"/>
  <c r="B9930" i="1"/>
  <c r="B8626" i="1"/>
  <c r="B11049" i="1"/>
  <c r="B7084" i="1"/>
  <c r="B13677" i="1"/>
  <c r="B2217" i="1"/>
  <c r="B3645" i="1"/>
  <c r="B17893" i="1"/>
  <c r="B7515" i="1"/>
  <c r="B16544" i="1"/>
  <c r="B10554" i="1"/>
  <c r="B9959" i="1"/>
  <c r="B4783" i="1"/>
  <c r="B4080" i="1"/>
  <c r="B12747" i="1"/>
  <c r="B7850" i="1"/>
  <c r="B7091" i="1"/>
  <c r="B2991" i="1"/>
  <c r="B14590" i="1"/>
  <c r="B10536" i="1"/>
  <c r="B1083" i="1"/>
  <c r="B4273" i="1"/>
  <c r="B1291" i="1"/>
  <c r="B8064" i="1"/>
  <c r="B994" i="1"/>
  <c r="B15565" i="1"/>
  <c r="B4489" i="1"/>
  <c r="B1471" i="1"/>
  <c r="B1419" i="1"/>
  <c r="B4379" i="1"/>
  <c r="B5163" i="1"/>
  <c r="B3812" i="1"/>
  <c r="B2664" i="1"/>
  <c r="B3015" i="1"/>
  <c r="B4341" i="1"/>
  <c r="B10418" i="1"/>
  <c r="B7288" i="1"/>
  <c r="B10592" i="1"/>
  <c r="B11169" i="1"/>
  <c r="B13853" i="1"/>
  <c r="B8763" i="1"/>
  <c r="B8465" i="1"/>
  <c r="B11619" i="1"/>
  <c r="B10293" i="1"/>
  <c r="B13865" i="1"/>
  <c r="B14270" i="1"/>
  <c r="B2023" i="1"/>
  <c r="B6076" i="1"/>
  <c r="B10545" i="1"/>
  <c r="B14136" i="1"/>
  <c r="B10891" i="1"/>
  <c r="B3129" i="1"/>
  <c r="B3562" i="1"/>
  <c r="B3369" i="1"/>
  <c r="B11095" i="1"/>
  <c r="B8389" i="1"/>
  <c r="B13408" i="1"/>
  <c r="B7881" i="1"/>
  <c r="B12681" i="1"/>
  <c r="B12968" i="1"/>
  <c r="B11133" i="1"/>
  <c r="B2152" i="1"/>
  <c r="B7675" i="1"/>
  <c r="B12306" i="1"/>
  <c r="B13344" i="1"/>
  <c r="B12278" i="1"/>
  <c r="B3544" i="1"/>
  <c r="B6436" i="1"/>
  <c r="B14657" i="1"/>
  <c r="B4703" i="1"/>
  <c r="B8559" i="1"/>
  <c r="B3853" i="1"/>
  <c r="B14641" i="1"/>
  <c r="B10727" i="1"/>
  <c r="B11480" i="1"/>
  <c r="B1712" i="1"/>
  <c r="B3973" i="1"/>
  <c r="B4561" i="1"/>
  <c r="B16895" i="1"/>
  <c r="B12823" i="1"/>
  <c r="B2950" i="1"/>
  <c r="B11785" i="1"/>
  <c r="B3531" i="1"/>
  <c r="B14457" i="1"/>
  <c r="B13520" i="1"/>
  <c r="B11497" i="1"/>
  <c r="B14818" i="1"/>
  <c r="B2166" i="1"/>
  <c r="B13815" i="1"/>
  <c r="B412" i="1"/>
  <c r="B14807" i="1"/>
  <c r="B11108" i="1"/>
  <c r="B13235" i="1"/>
  <c r="B11184" i="1"/>
  <c r="B10739" i="1"/>
  <c r="B3516" i="1"/>
  <c r="B12003" i="1"/>
  <c r="B8972" i="1"/>
  <c r="B14002" i="1"/>
  <c r="B11970" i="1"/>
  <c r="B10961" i="1"/>
  <c r="B13294" i="1"/>
  <c r="B10743" i="1"/>
  <c r="B14660" i="1"/>
  <c r="B10981" i="1"/>
  <c r="B13836" i="1"/>
  <c r="B11310" i="1"/>
  <c r="B6173" i="1"/>
  <c r="B13615" i="1"/>
  <c r="B11443" i="1"/>
  <c r="B853" i="1"/>
  <c r="B11401" i="1"/>
  <c r="B8261" i="1"/>
  <c r="B13132" i="1"/>
  <c r="B12819" i="1"/>
  <c r="B11354" i="1"/>
  <c r="B1839" i="1"/>
  <c r="B8507" i="1"/>
  <c r="B2859" i="1"/>
  <c r="B4050" i="1"/>
  <c r="B3118" i="1"/>
  <c r="B593" i="1"/>
  <c r="B13908" i="1"/>
  <c r="B2056" i="1"/>
  <c r="B6795" i="1"/>
  <c r="B1624" i="1"/>
  <c r="B13880" i="1"/>
  <c r="B1679" i="1"/>
  <c r="B4474" i="1"/>
  <c r="B3078" i="1"/>
  <c r="B3501" i="1"/>
  <c r="B12802" i="1"/>
  <c r="B12863" i="1"/>
  <c r="B7122" i="1"/>
  <c r="B13610" i="1"/>
  <c r="B1929" i="1"/>
  <c r="B3824" i="1"/>
  <c r="B15790" i="1"/>
  <c r="B3351" i="1"/>
  <c r="B6229" i="1"/>
  <c r="B11046" i="1"/>
  <c r="B13603" i="1"/>
  <c r="B17963" i="1"/>
  <c r="B13817" i="1"/>
  <c r="B6895" i="1"/>
  <c r="B13456" i="1"/>
  <c r="B6889" i="1"/>
  <c r="B349" i="1"/>
  <c r="B832" i="1"/>
  <c r="B12311" i="1"/>
  <c r="B3444" i="1"/>
  <c r="B6288" i="1"/>
  <c r="B14088" i="1"/>
  <c r="B14635" i="1"/>
  <c r="B4304" i="1"/>
  <c r="B10927" i="1"/>
  <c r="B14031" i="1"/>
  <c r="B2976" i="1"/>
  <c r="B15938" i="1"/>
  <c r="B1203" i="1"/>
  <c r="B4765" i="1"/>
  <c r="B9243" i="1"/>
  <c r="B11197" i="1"/>
  <c r="B12746" i="1"/>
  <c r="B14456" i="1"/>
  <c r="B12894" i="1"/>
  <c r="B11927" i="1"/>
  <c r="B7921" i="1"/>
  <c r="B5595" i="1"/>
  <c r="B16566" i="1"/>
  <c r="B8031" i="1"/>
  <c r="B11657" i="1"/>
  <c r="B16072" i="1"/>
  <c r="B9838" i="1"/>
  <c r="B5685" i="1"/>
  <c r="B9811" i="1"/>
  <c r="B4887" i="1"/>
  <c r="B12105" i="1"/>
  <c r="B11446" i="1"/>
  <c r="B10849" i="1"/>
  <c r="B12699" i="1"/>
  <c r="B812" i="1"/>
  <c r="B11519" i="1"/>
  <c r="B14045" i="1"/>
  <c r="B12145" i="1"/>
  <c r="B10865" i="1"/>
  <c r="B11603" i="1"/>
  <c r="B8084" i="1"/>
  <c r="B1642" i="1"/>
  <c r="B6046" i="1"/>
  <c r="B7727" i="1"/>
  <c r="B1557" i="1"/>
  <c r="B602" i="1"/>
  <c r="B2335" i="1"/>
  <c r="B13471" i="1"/>
  <c r="B10201" i="1"/>
  <c r="B13733" i="1"/>
  <c r="B13458" i="1"/>
  <c r="B10387" i="1"/>
  <c r="B12953" i="1"/>
  <c r="B7873" i="1"/>
  <c r="B14541" i="1"/>
  <c r="B5798" i="1"/>
  <c r="B17956" i="1"/>
  <c r="B8221" i="1"/>
  <c r="B9227" i="1"/>
  <c r="B17958" i="1"/>
  <c r="B12429" i="1"/>
  <c r="B1325" i="1"/>
  <c r="B13159" i="1"/>
  <c r="B13750" i="1"/>
  <c r="B14287" i="1"/>
  <c r="B12970" i="1"/>
  <c r="B8332" i="1"/>
  <c r="B13301" i="1"/>
  <c r="B11400" i="1"/>
  <c r="B186" i="1"/>
  <c r="B14585" i="1"/>
  <c r="B11173" i="1"/>
  <c r="B14073" i="1"/>
  <c r="B11326" i="1"/>
  <c r="B10292" i="1"/>
  <c r="B11231" i="1"/>
  <c r="B10839" i="1"/>
  <c r="B5245" i="1"/>
  <c r="B13111" i="1"/>
  <c r="B7401" i="1"/>
  <c r="B12256" i="1"/>
  <c r="B7226" i="1"/>
  <c r="B5983" i="1"/>
  <c r="B7785" i="1"/>
  <c r="B13361" i="1"/>
  <c r="B5945" i="1"/>
  <c r="B12913" i="1"/>
  <c r="B6767" i="1"/>
  <c r="B14638" i="1"/>
  <c r="B7524" i="1"/>
  <c r="B5351" i="1"/>
  <c r="B2717" i="1"/>
  <c r="B5277" i="1"/>
  <c r="B4167" i="1"/>
  <c r="B7513" i="1"/>
  <c r="B261" i="1"/>
  <c r="B2136" i="1"/>
  <c r="B4950" i="1"/>
  <c r="B3589" i="1"/>
  <c r="B16092" i="1"/>
  <c r="B14302" i="1"/>
  <c r="B8981" i="1"/>
  <c r="B4967" i="1"/>
  <c r="B7307" i="1"/>
  <c r="B2240" i="1"/>
  <c r="B4527" i="1"/>
  <c r="B4968" i="1"/>
  <c r="B3292" i="1"/>
  <c r="B11893" i="1"/>
  <c r="B2120" i="1"/>
  <c r="B2005" i="1"/>
  <c r="B4421" i="1"/>
  <c r="B13826" i="1"/>
  <c r="B12790" i="1"/>
  <c r="B12528" i="1"/>
  <c r="B347" i="1"/>
  <c r="B7720" i="1"/>
  <c r="B895" i="1"/>
  <c r="B16321" i="1"/>
  <c r="B12436" i="1"/>
  <c r="B4360" i="1"/>
  <c r="B10210" i="1"/>
  <c r="B1242" i="1"/>
  <c r="B1692" i="1"/>
  <c r="B15987" i="1"/>
  <c r="B13272" i="1"/>
  <c r="B1764" i="1"/>
  <c r="B5213" i="1"/>
  <c r="B16238" i="1"/>
  <c r="B17990" i="1"/>
  <c r="B16190" i="1"/>
  <c r="B4871" i="1"/>
  <c r="B17930" i="1"/>
  <c r="B1812" i="1"/>
  <c r="B12277" i="1"/>
  <c r="B4399" i="1"/>
  <c r="B8034" i="1"/>
  <c r="B1075" i="1"/>
  <c r="B2503" i="1"/>
  <c r="B6660" i="1"/>
  <c r="B10237" i="1"/>
  <c r="B13135" i="1"/>
  <c r="B13974" i="1"/>
  <c r="B14351" i="1"/>
  <c r="B1756" i="1"/>
  <c r="B1521" i="1"/>
  <c r="B4951" i="1"/>
  <c r="B16541" i="1"/>
  <c r="B488" i="1"/>
  <c r="B3897" i="1"/>
  <c r="B10208" i="1"/>
  <c r="B10189" i="1"/>
  <c r="B10193" i="1"/>
  <c r="B8278" i="1"/>
  <c r="B12515" i="1"/>
  <c r="B10767" i="1"/>
  <c r="B5487" i="1"/>
  <c r="B13483" i="1"/>
  <c r="B2871" i="1"/>
  <c r="B4083" i="1"/>
  <c r="B6543" i="1"/>
  <c r="B5915" i="1"/>
  <c r="B4460" i="1"/>
  <c r="B13959" i="1"/>
  <c r="B7346" i="1"/>
  <c r="B4557" i="1"/>
  <c r="B2528" i="1"/>
  <c r="B7254" i="1"/>
  <c r="B10723" i="1"/>
  <c r="B5288" i="1"/>
  <c r="B7504" i="1"/>
  <c r="B8212" i="1"/>
  <c r="B11929" i="1"/>
  <c r="B16865" i="1"/>
  <c r="B4098" i="1"/>
  <c r="B4277" i="1"/>
  <c r="B17035" i="1"/>
  <c r="B4472" i="1"/>
  <c r="B17884" i="1"/>
  <c r="B226" i="1"/>
  <c r="B13250" i="1"/>
  <c r="B3827" i="1"/>
  <c r="B1255" i="1"/>
  <c r="B15028" i="1"/>
  <c r="B391" i="1"/>
  <c r="B16126" i="1"/>
  <c r="B11137" i="1"/>
  <c r="B2175" i="1"/>
  <c r="B5073" i="1"/>
  <c r="B1232" i="1"/>
  <c r="B12924" i="1"/>
  <c r="B4567" i="1"/>
  <c r="B5807" i="1"/>
  <c r="B4580" i="1"/>
  <c r="B4556" i="1"/>
  <c r="B17219" i="1"/>
  <c r="B13596" i="1"/>
  <c r="B14263" i="1"/>
  <c r="B4543" i="1"/>
  <c r="B2569" i="1"/>
  <c r="B10265" i="1"/>
  <c r="B12471" i="1"/>
  <c r="B8431" i="1"/>
  <c r="B4861" i="1"/>
  <c r="B11641" i="1"/>
  <c r="B3775" i="1"/>
  <c r="B8634" i="1"/>
  <c r="B3860" i="1"/>
  <c r="B8227" i="1"/>
  <c r="B15036" i="1"/>
  <c r="B5415" i="1"/>
  <c r="B4359" i="1"/>
  <c r="B4623" i="1"/>
  <c r="B13369" i="1"/>
  <c r="B11409" i="1"/>
  <c r="B7250" i="1"/>
  <c r="B11214" i="1"/>
  <c r="B13286" i="1"/>
  <c r="B710" i="1"/>
  <c r="B2538" i="1"/>
  <c r="B12689" i="1"/>
  <c r="B7740" i="1"/>
  <c r="B4767" i="1"/>
  <c r="B3482" i="1"/>
  <c r="B826" i="1"/>
  <c r="B10382" i="1"/>
  <c r="B11617" i="1"/>
  <c r="B3538" i="1"/>
  <c r="B8629" i="1"/>
  <c r="B10710" i="1"/>
  <c r="B2199" i="1"/>
  <c r="B3532" i="1"/>
  <c r="B4365" i="1"/>
  <c r="B8563" i="1"/>
  <c r="B4099" i="1"/>
  <c r="B9018" i="1"/>
  <c r="B3765" i="1"/>
  <c r="B10701" i="1"/>
  <c r="B6887" i="1"/>
  <c r="B10784" i="1"/>
  <c r="B12855" i="1"/>
  <c r="B1734" i="1"/>
  <c r="B11738" i="1"/>
  <c r="B13049" i="1"/>
  <c r="B9594" i="1"/>
  <c r="B4194" i="1"/>
  <c r="B11525" i="1"/>
  <c r="B15481" i="1"/>
  <c r="B10679" i="1"/>
  <c r="B5222" i="1"/>
  <c r="B7473" i="1"/>
  <c r="B12273" i="1"/>
  <c r="B3710" i="1"/>
  <c r="B14877" i="1"/>
  <c r="B3065" i="1"/>
  <c r="B998" i="1"/>
  <c r="B13071" i="1"/>
  <c r="B14849" i="1"/>
  <c r="B6682" i="1"/>
  <c r="B11413" i="1"/>
  <c r="B7819" i="1"/>
  <c r="B12253" i="1"/>
  <c r="B796" i="1"/>
  <c r="B10810" i="1"/>
  <c r="B6041" i="1"/>
  <c r="B4741" i="1"/>
  <c r="B10556" i="1"/>
  <c r="B6128" i="1"/>
  <c r="B4922" i="1"/>
  <c r="B9916" i="1"/>
  <c r="B3713" i="1"/>
  <c r="B636" i="1"/>
  <c r="B13017" i="1"/>
  <c r="B11110" i="1"/>
  <c r="B603" i="1"/>
  <c r="B13034" i="1"/>
  <c r="B13001" i="1"/>
  <c r="B12665" i="1"/>
  <c r="B4743" i="1"/>
  <c r="B1693" i="1"/>
  <c r="B12948" i="1"/>
  <c r="B1800" i="1"/>
  <c r="B14053" i="1"/>
  <c r="B11727" i="1"/>
  <c r="B11352" i="1"/>
  <c r="B3841" i="1"/>
  <c r="B12561" i="1"/>
  <c r="B3708" i="1"/>
  <c r="B320" i="1"/>
  <c r="B13177" i="1"/>
  <c r="B14803" i="1"/>
  <c r="B4550" i="1"/>
  <c r="B11257" i="1"/>
  <c r="B13323" i="1"/>
  <c r="B8639" i="1"/>
  <c r="B13451" i="1"/>
  <c r="B1882" i="1"/>
  <c r="B2380" i="1"/>
  <c r="B5461" i="1"/>
  <c r="B7702" i="1"/>
  <c r="B11830" i="1"/>
  <c r="B453" i="1"/>
  <c r="B545" i="1"/>
  <c r="B17207" i="1"/>
  <c r="B14094" i="1"/>
  <c r="B1843" i="1"/>
  <c r="B7715" i="1"/>
  <c r="B13293" i="1"/>
  <c r="B13810" i="1"/>
  <c r="B8513" i="1"/>
  <c r="B4618" i="1"/>
  <c r="B1425" i="1"/>
  <c r="B14518" i="1"/>
  <c r="B2017" i="1"/>
  <c r="B11239" i="1"/>
  <c r="B11531" i="1"/>
  <c r="B5331" i="1"/>
  <c r="B12923" i="1"/>
  <c r="B12543" i="1"/>
  <c r="B1238" i="1"/>
  <c r="B6216" i="1"/>
  <c r="B13397" i="1"/>
  <c r="B13155" i="1"/>
  <c r="B6903" i="1"/>
  <c r="B4607" i="1"/>
  <c r="B12630" i="1"/>
  <c r="B3464" i="1"/>
  <c r="B7687" i="1"/>
  <c r="B11461" i="1"/>
  <c r="B4628" i="1"/>
  <c r="B10790" i="1"/>
  <c r="B10438" i="1"/>
  <c r="B9195" i="1"/>
  <c r="B8999" i="1"/>
  <c r="B10278" i="1"/>
  <c r="B13455" i="1"/>
  <c r="B3380" i="1"/>
  <c r="B3299" i="1"/>
  <c r="B5861" i="1"/>
  <c r="B10700" i="1"/>
  <c r="B973" i="1"/>
  <c r="B2617" i="1"/>
  <c r="B11254" i="1"/>
  <c r="B4653" i="1"/>
  <c r="B616" i="1"/>
  <c r="B4868" i="1"/>
  <c r="B3697" i="1"/>
  <c r="B78" i="1"/>
  <c r="B1497" i="1"/>
  <c r="B8555" i="1"/>
  <c r="B10496" i="1"/>
  <c r="B6429" i="1"/>
  <c r="B11747" i="1"/>
  <c r="B7635" i="1"/>
  <c r="B7790" i="1"/>
  <c r="B11003" i="1"/>
  <c r="B7718" i="1"/>
  <c r="B10600" i="1"/>
  <c r="B8376" i="1"/>
  <c r="B5960" i="1"/>
  <c r="B10877" i="1"/>
  <c r="B10704" i="1"/>
  <c r="B6226" i="1"/>
  <c r="B8287" i="1"/>
  <c r="B9294" i="1"/>
  <c r="B14600" i="1"/>
  <c r="B3397" i="1"/>
  <c r="B9775" i="1"/>
  <c r="B13881" i="1"/>
  <c r="B7744" i="1"/>
  <c r="B9295" i="1"/>
  <c r="B14454" i="1"/>
  <c r="B7898" i="1"/>
  <c r="B9560" i="1"/>
  <c r="B11769" i="1"/>
  <c r="B4773" i="1"/>
  <c r="B2517" i="1"/>
  <c r="B14169" i="1"/>
  <c r="B5014" i="1"/>
  <c r="B1365" i="1"/>
  <c r="B1772" i="1"/>
  <c r="B2011" i="1"/>
  <c r="B11486" i="1"/>
  <c r="B10869" i="1"/>
  <c r="B2590" i="1"/>
  <c r="B1315" i="1"/>
  <c r="B13571" i="1"/>
  <c r="B898" i="1"/>
  <c r="B1360" i="1"/>
  <c r="B3489" i="1"/>
  <c r="B2000" i="1"/>
  <c r="B11942" i="1"/>
  <c r="B3641" i="1"/>
  <c r="B15554" i="1"/>
  <c r="B3782" i="1"/>
  <c r="B14748" i="1"/>
  <c r="B702" i="1"/>
  <c r="B3971" i="1"/>
  <c r="B10022" i="1"/>
  <c r="B9114" i="1"/>
  <c r="B3197" i="1"/>
  <c r="B1316" i="1"/>
  <c r="B4220" i="1"/>
  <c r="B16219" i="1"/>
  <c r="B1620" i="1"/>
  <c r="B5024" i="1"/>
  <c r="B958" i="1"/>
  <c r="B14767" i="1"/>
  <c r="B11217" i="1"/>
  <c r="B15560" i="1"/>
  <c r="B6703" i="1"/>
  <c r="B4953" i="1"/>
  <c r="B14769" i="1"/>
  <c r="B5475" i="1"/>
  <c r="B745" i="1"/>
  <c r="B9616" i="1"/>
  <c r="B1600" i="1"/>
  <c r="B3416" i="1"/>
  <c r="B14857" i="1"/>
  <c r="B138" i="1"/>
  <c r="B7478" i="1"/>
  <c r="B1228" i="1"/>
  <c r="B14759" i="1"/>
  <c r="B8548" i="1"/>
  <c r="B4530" i="1"/>
  <c r="B12081" i="1"/>
  <c r="B15841" i="1"/>
  <c r="B13302" i="1"/>
  <c r="B11190" i="1"/>
  <c r="B4960" i="1"/>
  <c r="B11634" i="1"/>
  <c r="B13425" i="1"/>
  <c r="B11119" i="1"/>
  <c r="B12243" i="1"/>
  <c r="B3070" i="1"/>
  <c r="B4174" i="1"/>
  <c r="B614" i="1"/>
  <c r="B5309" i="1"/>
  <c r="B13121" i="1"/>
  <c r="B466" i="1"/>
  <c r="B6564" i="1"/>
  <c r="B12119" i="1"/>
  <c r="B3063" i="1"/>
  <c r="B12359" i="1"/>
  <c r="B8048" i="1"/>
  <c r="B1306" i="1"/>
  <c r="B4529" i="1"/>
  <c r="B12530" i="1"/>
  <c r="B4548" i="1"/>
  <c r="B7624" i="1"/>
  <c r="B16363" i="1"/>
  <c r="B5553" i="1"/>
  <c r="B7440" i="1"/>
  <c r="B1432" i="1"/>
  <c r="B11178" i="1"/>
  <c r="B1669" i="1"/>
  <c r="B6694" i="1"/>
  <c r="B13481" i="1"/>
  <c r="B11612" i="1"/>
  <c r="B11635" i="1"/>
  <c r="B3132" i="1"/>
  <c r="B4358" i="1"/>
  <c r="B14544" i="1"/>
  <c r="B10697" i="1"/>
  <c r="B3230" i="1"/>
  <c r="B11429" i="1"/>
  <c r="B2724" i="1"/>
  <c r="B13324" i="1"/>
  <c r="B6790" i="1"/>
  <c r="B4914" i="1"/>
  <c r="B12518" i="1"/>
  <c r="B2561" i="1"/>
  <c r="B9172" i="1"/>
  <c r="B8313" i="1"/>
  <c r="B11020" i="1"/>
  <c r="B6745" i="1"/>
  <c r="B3166" i="1"/>
  <c r="B2474" i="1"/>
  <c r="B13990" i="1"/>
  <c r="B5485" i="1"/>
  <c r="B3669" i="1"/>
  <c r="B12062" i="1"/>
  <c r="B6096" i="1"/>
  <c r="B11402" i="1"/>
  <c r="B10932" i="1"/>
  <c r="B12068" i="1"/>
  <c r="B8085" i="1"/>
  <c r="B6639" i="1"/>
  <c r="B2618" i="1"/>
  <c r="B4848" i="1"/>
  <c r="B12300" i="1"/>
  <c r="B13035" i="1"/>
  <c r="B3630" i="1"/>
  <c r="B11758" i="1"/>
  <c r="B8211" i="1"/>
  <c r="B14525" i="1"/>
  <c r="B2283" i="1"/>
  <c r="B6225" i="1"/>
  <c r="B444" i="1"/>
  <c r="B16053" i="1"/>
  <c r="B5470" i="1"/>
  <c r="B5938" i="1"/>
  <c r="B5466" i="1"/>
  <c r="B3196" i="1"/>
  <c r="B6742" i="1"/>
  <c r="B2021" i="1"/>
  <c r="B4800" i="1"/>
  <c r="B4940" i="1"/>
  <c r="B1813" i="1"/>
  <c r="B7417" i="1"/>
  <c r="B389" i="1"/>
  <c r="B5431" i="1"/>
  <c r="B13234" i="1"/>
  <c r="B2973" i="1"/>
  <c r="B162" i="1"/>
  <c r="B5492" i="1"/>
  <c r="B16178" i="1"/>
  <c r="B14102" i="1"/>
  <c r="B3315" i="1"/>
  <c r="B2432" i="1"/>
  <c r="B10816" i="1"/>
  <c r="B12127" i="1"/>
  <c r="B3770" i="1"/>
  <c r="B12043" i="1"/>
  <c r="B13591" i="1"/>
  <c r="B7787" i="1"/>
  <c r="B14231" i="1"/>
  <c r="B13048" i="1"/>
  <c r="B17394" i="1"/>
  <c r="B1060" i="1"/>
  <c r="B3223" i="1"/>
  <c r="B15547" i="1"/>
  <c r="B12700" i="1"/>
  <c r="B15842" i="1"/>
  <c r="B5358" i="1"/>
  <c r="B5996" i="1"/>
  <c r="B2680" i="1"/>
  <c r="B3636" i="1"/>
  <c r="B6095" i="1"/>
  <c r="B3785" i="1"/>
  <c r="B13364" i="1"/>
  <c r="B11518" i="1"/>
  <c r="B11349" i="1"/>
  <c r="B4683" i="1"/>
  <c r="B13967" i="1"/>
  <c r="B15074" i="1"/>
  <c r="B13792" i="1"/>
  <c r="B2272" i="1"/>
  <c r="B11621" i="1"/>
  <c r="B10185" i="1"/>
  <c r="B1778" i="1"/>
  <c r="B6692" i="1"/>
  <c r="B12205" i="1"/>
  <c r="B5077" i="1"/>
  <c r="B11161" i="1"/>
  <c r="B7062" i="1"/>
  <c r="B10847" i="1"/>
  <c r="B15600" i="1"/>
  <c r="B3940" i="1"/>
  <c r="B8853" i="1"/>
  <c r="B10548" i="1"/>
  <c r="B1899" i="1"/>
  <c r="B17965" i="1"/>
  <c r="B240" i="1"/>
  <c r="B13420" i="1"/>
  <c r="B15186" i="1"/>
  <c r="B9120" i="1"/>
  <c r="B6780" i="1"/>
  <c r="B13703" i="1"/>
  <c r="B13142" i="1"/>
  <c r="B12766" i="1"/>
  <c r="B1119" i="1"/>
  <c r="B1896" i="1"/>
  <c r="B8282" i="1"/>
  <c r="B12800" i="1"/>
  <c r="B2012" i="1"/>
  <c r="B6815" i="1"/>
  <c r="B5201" i="1"/>
  <c r="B4522" i="1"/>
  <c r="B7389" i="1"/>
  <c r="B11961" i="1"/>
  <c r="B11495" i="1"/>
  <c r="B17001" i="1"/>
  <c r="B4180" i="1"/>
  <c r="B11729" i="1"/>
  <c r="B527" i="1"/>
  <c r="B3096" i="1"/>
  <c r="B15816" i="1"/>
  <c r="B4503" i="1"/>
  <c r="B2712" i="1"/>
  <c r="B11430" i="1"/>
  <c r="B3625" i="1"/>
  <c r="B2867" i="1"/>
  <c r="B3572" i="1"/>
  <c r="B10996" i="1"/>
  <c r="B4786" i="1"/>
  <c r="B5197" i="1"/>
  <c r="B3131" i="1"/>
  <c r="B7363" i="1"/>
  <c r="B8076" i="1"/>
  <c r="B11321" i="1"/>
  <c r="B17095" i="1"/>
  <c r="B12725" i="1"/>
  <c r="B1842" i="1"/>
  <c r="B14372" i="1"/>
  <c r="B2852" i="1"/>
  <c r="B6121" i="1"/>
  <c r="B7205" i="1"/>
  <c r="B11470" i="1"/>
  <c r="B7665" i="1"/>
  <c r="B4672" i="1"/>
  <c r="B4920" i="1"/>
  <c r="B10505" i="1"/>
  <c r="B15662" i="1"/>
  <c r="B10802" i="1"/>
  <c r="B7557" i="1"/>
  <c r="B3328" i="1"/>
  <c r="B2116" i="1"/>
  <c r="B17939" i="1"/>
  <c r="B15429" i="1"/>
  <c r="B3909" i="1"/>
  <c r="B14722" i="1"/>
  <c r="B3119" i="1"/>
  <c r="B10465" i="1"/>
  <c r="B4223" i="1"/>
  <c r="B12889" i="1"/>
  <c r="B2581" i="1"/>
  <c r="B2975" i="1"/>
  <c r="B7960" i="1"/>
  <c r="B13607" i="1"/>
  <c r="B15130" i="1"/>
  <c r="B3110" i="1"/>
  <c r="B16331" i="1"/>
  <c r="B6749" i="1"/>
  <c r="B4004" i="1"/>
  <c r="B13122" i="1"/>
  <c r="B14519" i="1"/>
  <c r="B13315" i="1"/>
  <c r="B13971" i="1"/>
  <c r="B11628" i="1"/>
  <c r="B7165" i="1"/>
  <c r="B15288" i="1"/>
  <c r="B148" i="1"/>
  <c r="B13411" i="1"/>
  <c r="B9043" i="1"/>
  <c r="B1633" i="1"/>
  <c r="B2321" i="1"/>
  <c r="B2855" i="1"/>
  <c r="B3317" i="1"/>
  <c r="B10529" i="1"/>
  <c r="B5357" i="1"/>
  <c r="B10366" i="1"/>
  <c r="B14235" i="1"/>
  <c r="B13284" i="1"/>
  <c r="B12269" i="1"/>
  <c r="B3179" i="1"/>
  <c r="B9401" i="1"/>
  <c r="B14633" i="1"/>
  <c r="B1198" i="1"/>
  <c r="B9836" i="1"/>
  <c r="B4714" i="1"/>
  <c r="B2802" i="1"/>
  <c r="B2531" i="1"/>
  <c r="B3373" i="1"/>
  <c r="B4139" i="1"/>
  <c r="B4722" i="1"/>
  <c r="B11924" i="1"/>
  <c r="B3800" i="1"/>
  <c r="B3901" i="1"/>
  <c r="B8248" i="1"/>
  <c r="B14729" i="1"/>
  <c r="B11073" i="1"/>
  <c r="B70" i="1"/>
  <c r="B16093" i="1"/>
  <c r="B1937" i="1"/>
  <c r="B3907" i="1"/>
  <c r="B8263" i="1"/>
  <c r="B2756" i="1"/>
  <c r="B14882" i="1"/>
  <c r="B4851" i="1"/>
  <c r="B3844" i="1"/>
  <c r="B6788" i="1"/>
  <c r="B5830" i="1"/>
  <c r="B7002" i="1"/>
  <c r="B15477" i="1"/>
  <c r="B10881" i="1"/>
  <c r="B16075" i="1"/>
  <c r="B3890" i="1"/>
  <c r="B8146" i="1"/>
  <c r="B3387" i="1"/>
  <c r="B4680" i="1"/>
  <c r="B10599" i="1"/>
  <c r="B6808" i="1"/>
  <c r="B11192" i="1"/>
  <c r="B8262" i="1"/>
  <c r="B112" i="1"/>
  <c r="B417" i="1"/>
  <c r="B1231" i="1"/>
  <c r="B11387" i="1"/>
  <c r="B6819" i="1"/>
  <c r="B11801" i="1"/>
  <c r="B4092" i="1"/>
  <c r="B12655" i="1"/>
  <c r="B7705" i="1"/>
  <c r="B1796" i="1"/>
  <c r="B10888" i="1"/>
  <c r="B13742" i="1"/>
  <c r="B12011" i="1"/>
  <c r="B13608" i="1"/>
  <c r="B17957" i="1"/>
  <c r="B12801" i="1"/>
  <c r="B9777" i="1"/>
  <c r="B13110" i="1"/>
  <c r="B4632" i="1"/>
  <c r="B2345" i="1"/>
  <c r="B10460" i="1"/>
  <c r="B7385" i="1"/>
  <c r="B4948" i="1"/>
  <c r="B5500" i="1"/>
  <c r="B2811" i="1"/>
  <c r="B11686" i="1"/>
  <c r="B5028" i="1"/>
  <c r="B4837" i="1"/>
  <c r="B5246" i="1"/>
  <c r="B6536" i="1"/>
  <c r="B3565" i="1"/>
  <c r="B11111" i="1"/>
  <c r="B7749" i="1"/>
  <c r="B599" i="1"/>
  <c r="B3440" i="1"/>
  <c r="B13124" i="1"/>
  <c r="B10417" i="1"/>
  <c r="B10512" i="1"/>
  <c r="B9093" i="1"/>
  <c r="B11232" i="1"/>
  <c r="B7880" i="1"/>
  <c r="B13424" i="1"/>
  <c r="B10474" i="1"/>
  <c r="B13086" i="1"/>
  <c r="B13951" i="1"/>
  <c r="B4331" i="1"/>
  <c r="B1747" i="1"/>
  <c r="B6782" i="1"/>
  <c r="B11578" i="1"/>
  <c r="B4798" i="1"/>
  <c r="B2705" i="1"/>
  <c r="B7409" i="1"/>
  <c r="B13713" i="1"/>
  <c r="B12698" i="1"/>
  <c r="B7674" i="1"/>
  <c r="B12402" i="1"/>
  <c r="B11911" i="1"/>
  <c r="B2629" i="1"/>
  <c r="B8164" i="1"/>
  <c r="B8077" i="1"/>
  <c r="B16356" i="1"/>
  <c r="B11795" i="1"/>
  <c r="B4957" i="1"/>
  <c r="B7583" i="1"/>
  <c r="B11346" i="1"/>
  <c r="B1302" i="1"/>
  <c r="B15263" i="1"/>
  <c r="B5103" i="1"/>
  <c r="B13432" i="1"/>
  <c r="B1474" i="1"/>
  <c r="B6739" i="1"/>
  <c r="B1130" i="1"/>
  <c r="B15494" i="1"/>
  <c r="B3985" i="1"/>
  <c r="B12869" i="1"/>
  <c r="B9326" i="1"/>
  <c r="B13653" i="1"/>
  <c r="B4867" i="1"/>
  <c r="B1768" i="1"/>
  <c r="B7769" i="1"/>
  <c r="B6574" i="1"/>
  <c r="B1668" i="1"/>
  <c r="B3242" i="1"/>
  <c r="B4600" i="1"/>
  <c r="B13012" i="1"/>
  <c r="B1230" i="1"/>
  <c r="B6941" i="1"/>
  <c r="B6894" i="1"/>
  <c r="B7754" i="1"/>
  <c r="B5326" i="1"/>
  <c r="B11809" i="1"/>
  <c r="B6653" i="1"/>
  <c r="B7644" i="1"/>
  <c r="B12169" i="1"/>
  <c r="B3085" i="1"/>
  <c r="B6124" i="1"/>
  <c r="B10107" i="1"/>
  <c r="B8692" i="1"/>
  <c r="B14634" i="1"/>
  <c r="B9488" i="1"/>
  <c r="B12347" i="1"/>
  <c r="B4842" i="1"/>
  <c r="B10953" i="1"/>
  <c r="B11276" i="1"/>
  <c r="B1285" i="1"/>
  <c r="B2405" i="1"/>
  <c r="B1200" i="1"/>
  <c r="B1461" i="1"/>
  <c r="B10664" i="1"/>
  <c r="B1438" i="1"/>
  <c r="B10328" i="1"/>
  <c r="B11883" i="1"/>
  <c r="B7310" i="1"/>
  <c r="B12287" i="1"/>
  <c r="B4642" i="1"/>
  <c r="B1021" i="1"/>
  <c r="B1190" i="1"/>
  <c r="B9214" i="1"/>
  <c r="B645" i="1"/>
  <c r="B5518" i="1"/>
  <c r="B3226" i="1"/>
  <c r="B11993" i="1"/>
  <c r="B9238" i="1"/>
  <c r="B1314" i="1"/>
  <c r="B6221" i="1"/>
  <c r="B8315" i="1"/>
  <c r="B11158" i="1"/>
  <c r="B5855" i="1"/>
  <c r="B9841" i="1"/>
  <c r="B8118" i="1"/>
  <c r="B5084" i="1"/>
  <c r="B1445" i="1"/>
  <c r="B13216" i="1"/>
  <c r="B7685" i="1"/>
  <c r="B13134" i="1"/>
  <c r="B9832" i="1"/>
  <c r="B12441" i="1"/>
  <c r="B5003" i="1"/>
  <c r="B12328" i="1"/>
  <c r="B1577" i="1"/>
  <c r="B4724" i="1"/>
  <c r="B1472" i="1"/>
  <c r="B1352" i="1"/>
  <c r="B13328" i="1"/>
  <c r="B3644" i="1"/>
  <c r="B16241" i="1"/>
  <c r="B11167" i="1"/>
  <c r="B14574" i="1"/>
  <c r="B10534" i="1"/>
  <c r="B10549" i="1"/>
  <c r="B4912" i="1"/>
  <c r="B13436" i="1"/>
  <c r="B3270" i="1"/>
  <c r="B11704" i="1"/>
  <c r="B708" i="1"/>
  <c r="B15383" i="1"/>
  <c r="B1050" i="1"/>
  <c r="B7660" i="1"/>
  <c r="B8752" i="1"/>
  <c r="B12744" i="1"/>
  <c r="B7758" i="1"/>
  <c r="B12051" i="1"/>
  <c r="B10972" i="1"/>
  <c r="B5370" i="1"/>
  <c r="B11773" i="1"/>
  <c r="B12255" i="1"/>
  <c r="B3686" i="1"/>
  <c r="B7701" i="1"/>
  <c r="B6876" i="1"/>
  <c r="B4742" i="1"/>
  <c r="B442" i="1"/>
  <c r="B12974" i="1"/>
  <c r="B13066" i="1"/>
  <c r="B12859" i="1"/>
  <c r="B3305" i="1"/>
  <c r="B9240" i="1"/>
  <c r="B7243" i="1"/>
  <c r="B14134" i="1"/>
  <c r="B7670" i="1"/>
  <c r="B16006" i="1"/>
  <c r="B3396" i="1"/>
  <c r="B4308" i="1"/>
  <c r="B17413" i="1"/>
  <c r="B13242" i="1"/>
  <c r="B4736" i="1"/>
  <c r="B504" i="1"/>
  <c r="B11732" i="1"/>
  <c r="B334" i="1"/>
  <c r="B11243" i="1"/>
  <c r="B4674" i="1"/>
  <c r="B6817" i="1"/>
  <c r="B4477" i="1"/>
  <c r="B712" i="1"/>
  <c r="B11229" i="1"/>
  <c r="B15852" i="1"/>
  <c r="B991" i="1"/>
  <c r="B9833" i="1"/>
  <c r="B11408" i="1"/>
  <c r="B11277" i="1"/>
  <c r="B16242" i="1"/>
  <c r="B121" i="1"/>
  <c r="B4356" i="1"/>
  <c r="B16364" i="1"/>
  <c r="B6670" i="1"/>
  <c r="B11810" i="1"/>
  <c r="B11543" i="1"/>
  <c r="B6487" i="1"/>
  <c r="B5914" i="1"/>
  <c r="B5907" i="1"/>
  <c r="B8728" i="1"/>
  <c r="B3896" i="1"/>
  <c r="B16586" i="1"/>
  <c r="B4307" i="1"/>
  <c r="B7626" i="1"/>
  <c r="B11562" i="1"/>
  <c r="B11316" i="1"/>
  <c r="B8268" i="1"/>
  <c r="B9669" i="1"/>
  <c r="B4763" i="1"/>
  <c r="B8170" i="1"/>
  <c r="B3035" i="1"/>
  <c r="B3499" i="1"/>
  <c r="B9737" i="1"/>
  <c r="B12373" i="1"/>
  <c r="B4972" i="1"/>
  <c r="B6787" i="1"/>
  <c r="B12203" i="1"/>
  <c r="B758" i="1"/>
  <c r="B5248" i="1"/>
  <c r="B8319" i="1"/>
  <c r="B13735" i="1"/>
  <c r="B4955" i="1"/>
  <c r="B7597" i="1"/>
  <c r="B777" i="1"/>
  <c r="B1610" i="1"/>
  <c r="B1351" i="1"/>
  <c r="B14556" i="1"/>
  <c r="B12065" i="1"/>
  <c r="B4364" i="1"/>
  <c r="B11649" i="1"/>
  <c r="B4744" i="1"/>
  <c r="B1746" i="1"/>
  <c r="B6820" i="1"/>
  <c r="B2929" i="1"/>
  <c r="B12635" i="1"/>
  <c r="B1319" i="1"/>
  <c r="B1921" i="1"/>
  <c r="B13648" i="1"/>
  <c r="B6928" i="1"/>
  <c r="B7534" i="1"/>
  <c r="B923" i="1"/>
  <c r="B12873" i="1"/>
  <c r="B4526" i="1"/>
  <c r="B13707" i="1"/>
  <c r="B894" i="1"/>
  <c r="B5322" i="1"/>
  <c r="B16231" i="1"/>
  <c r="B9668" i="1"/>
  <c r="B3817" i="1"/>
  <c r="B5057" i="1"/>
  <c r="B13626" i="1"/>
  <c r="B4034" i="1"/>
  <c r="B10718" i="1"/>
  <c r="B2748" i="1"/>
  <c r="B1483" i="1"/>
  <c r="B12664" i="1"/>
  <c r="B3870" i="1"/>
  <c r="B13252" i="1"/>
  <c r="B5494" i="1"/>
  <c r="B4792" i="1"/>
  <c r="B4582" i="1"/>
  <c r="B3558" i="1"/>
  <c r="B17615" i="1"/>
  <c r="B7991" i="1"/>
  <c r="B4985" i="1"/>
  <c r="B145" i="1"/>
  <c r="B17916" i="1"/>
  <c r="B1544" i="1"/>
  <c r="B11984" i="1"/>
  <c r="B15751" i="1"/>
  <c r="B6916" i="1"/>
  <c r="B14825" i="1"/>
  <c r="B3332" i="1"/>
  <c r="B13718" i="1"/>
  <c r="B4206" i="1"/>
  <c r="B4821" i="1"/>
  <c r="B1299" i="1"/>
  <c r="B12679" i="1"/>
  <c r="B936" i="1"/>
  <c r="B7193" i="1"/>
  <c r="B8002" i="1"/>
  <c r="B10451" i="1"/>
  <c r="B11459" i="1"/>
  <c r="B12320" i="1"/>
  <c r="B13654" i="1"/>
  <c r="B15970" i="1"/>
  <c r="B6716" i="1"/>
  <c r="B7978" i="1"/>
  <c r="B7965" i="1"/>
  <c r="B768" i="1"/>
  <c r="B12493" i="1"/>
  <c r="B10353" i="1"/>
  <c r="B3605" i="1"/>
  <c r="B12829" i="1"/>
  <c r="B2710" i="1"/>
  <c r="B7556" i="1"/>
  <c r="B13400" i="1"/>
  <c r="B10492" i="1"/>
  <c r="B15066" i="1"/>
  <c r="B11477" i="1"/>
  <c r="B7861" i="1"/>
  <c r="B10255" i="1"/>
  <c r="B2482" i="1"/>
  <c r="B11849" i="1"/>
  <c r="B12805" i="1"/>
  <c r="B13166" i="1"/>
  <c r="B14888" i="1"/>
  <c r="B10257" i="1"/>
  <c r="B14049" i="1"/>
  <c r="B7241" i="1"/>
  <c r="B15597" i="1"/>
  <c r="B12409" i="1"/>
  <c r="B5115" i="1"/>
  <c r="B9511" i="1"/>
  <c r="B14317" i="1"/>
  <c r="B12840" i="1"/>
  <c r="B3146" i="1"/>
  <c r="B831" i="1"/>
  <c r="B17710" i="1"/>
  <c r="B1197" i="1"/>
  <c r="B3213" i="1"/>
  <c r="B10323" i="1"/>
  <c r="B17969" i="1"/>
  <c r="B8219" i="1"/>
  <c r="B3004" i="1"/>
  <c r="B8224" i="1"/>
  <c r="B6779" i="1"/>
  <c r="B3969" i="1"/>
  <c r="B15012" i="1"/>
  <c r="B9914" i="1"/>
  <c r="B2035" i="1"/>
  <c r="B10791" i="1"/>
  <c r="B14725" i="1"/>
  <c r="B2841" i="1"/>
  <c r="B17988" i="1"/>
  <c r="B10166" i="1"/>
  <c r="B10581" i="1"/>
  <c r="B13925" i="1"/>
  <c r="B13501" i="1"/>
  <c r="B10569" i="1"/>
  <c r="B14067" i="1"/>
  <c r="B7824" i="1"/>
  <c r="B2772" i="1"/>
  <c r="B12492" i="1"/>
  <c r="B17986" i="1"/>
  <c r="B647" i="1"/>
  <c r="B12750" i="1"/>
  <c r="B3541" i="1"/>
  <c r="B12462" i="1"/>
  <c r="B3952" i="1"/>
  <c r="B563" i="1"/>
  <c r="B1653" i="1"/>
  <c r="B13223" i="1"/>
  <c r="B4312" i="1"/>
  <c r="B1857" i="1"/>
  <c r="B7120" i="1"/>
  <c r="B3575" i="1"/>
  <c r="B4924" i="1"/>
  <c r="B6783" i="1"/>
  <c r="B6388" i="1"/>
  <c r="B7634" i="1"/>
  <c r="B11778" i="1"/>
  <c r="B12366" i="1"/>
  <c r="B3333" i="1"/>
  <c r="B10562" i="1"/>
  <c r="B4494" i="1"/>
  <c r="B371" i="1"/>
  <c r="B9382" i="1"/>
  <c r="B13766" i="1"/>
  <c r="B2377" i="1"/>
  <c r="B7048" i="1"/>
  <c r="B6526" i="1"/>
  <c r="B12979" i="1"/>
  <c r="B9722" i="1"/>
  <c r="B9421" i="1"/>
  <c r="B6874" i="1"/>
  <c r="B12510" i="1"/>
  <c r="B2898" i="1"/>
  <c r="B4931" i="1"/>
  <c r="B1572" i="1"/>
  <c r="B10841" i="1"/>
  <c r="B15762" i="1"/>
  <c r="B14440" i="1"/>
  <c r="B4570" i="1"/>
  <c r="B2695" i="1"/>
  <c r="B6587" i="1"/>
  <c r="B5027" i="1"/>
  <c r="B2799" i="1"/>
  <c r="B9589" i="1"/>
  <c r="B1913" i="1"/>
  <c r="B2415" i="1"/>
  <c r="B17584" i="1"/>
  <c r="B8461" i="1"/>
  <c r="B13723" i="1"/>
  <c r="B13960" i="1"/>
  <c r="B7752" i="1"/>
  <c r="B139" i="1"/>
  <c r="B12901" i="1"/>
  <c r="B4484" i="1"/>
  <c r="B2022" i="1"/>
  <c r="B1540" i="1"/>
  <c r="B2332" i="1"/>
  <c r="B11767" i="1"/>
  <c r="B5489" i="1"/>
  <c r="B10624" i="1"/>
  <c r="B8108" i="1"/>
  <c r="B2095" i="1"/>
  <c r="B12095" i="1"/>
  <c r="B5015" i="1"/>
  <c r="B914" i="1"/>
  <c r="B3959" i="1"/>
  <c r="B3172" i="1"/>
  <c r="B7696" i="1"/>
  <c r="B12037" i="1"/>
  <c r="B13398" i="1"/>
  <c r="B12405" i="1"/>
  <c r="B14452" i="1"/>
  <c r="B2414" i="1"/>
  <c r="B6083" i="1"/>
  <c r="B12862" i="1"/>
  <c r="B3107" i="1"/>
  <c r="B4191" i="1"/>
  <c r="B3751" i="1"/>
  <c r="B2001" i="1"/>
  <c r="B4235" i="1"/>
  <c r="B2839" i="1"/>
  <c r="B4344" i="1"/>
  <c r="B1677" i="1"/>
  <c r="B1590" i="1"/>
  <c r="B8136" i="1"/>
  <c r="B8476" i="1"/>
  <c r="B8472" i="1"/>
  <c r="B7394" i="1"/>
  <c r="B1369" i="1"/>
  <c r="B7436" i="1"/>
  <c r="B8499" i="1"/>
  <c r="B907" i="1"/>
  <c r="B15911" i="1"/>
  <c r="B8138" i="1"/>
  <c r="B11807" i="1"/>
  <c r="B11558" i="1"/>
  <c r="B2381" i="1"/>
  <c r="B3869" i="1"/>
  <c r="B9264" i="1"/>
  <c r="B7382" i="1"/>
  <c r="B5046" i="1"/>
  <c r="B11759" i="1"/>
  <c r="B12314" i="1"/>
  <c r="B13532" i="1"/>
  <c r="B11026" i="1"/>
  <c r="B11576" i="1"/>
  <c r="B12737" i="1"/>
  <c r="B13528" i="1"/>
  <c r="B4745" i="1"/>
  <c r="B2447" i="1"/>
  <c r="B17894" i="1"/>
  <c r="B13277" i="1"/>
  <c r="B4086" i="1"/>
  <c r="B15834" i="1"/>
  <c r="B12512" i="1"/>
  <c r="B11623" i="1"/>
  <c r="B5483" i="1"/>
  <c r="B14135" i="1"/>
  <c r="B4495" i="1"/>
  <c r="B7305" i="1"/>
  <c r="B5826" i="1"/>
  <c r="B3267" i="1"/>
  <c r="B11360" i="1"/>
  <c r="B3634" i="1"/>
  <c r="B15461" i="1"/>
  <c r="B1699" i="1"/>
  <c r="B551" i="1"/>
  <c r="B17891" i="1"/>
  <c r="B13038" i="1"/>
  <c r="B2448" i="1"/>
  <c r="B3153" i="1"/>
  <c r="B3459" i="1"/>
  <c r="B13283" i="1"/>
  <c r="B13473" i="1"/>
  <c r="B3838" i="1"/>
  <c r="B9684" i="1"/>
  <c r="B4793" i="1"/>
  <c r="B4611" i="1"/>
  <c r="B3602" i="1"/>
  <c r="B2330" i="1"/>
  <c r="B5031" i="1"/>
  <c r="B13084" i="1"/>
  <c r="B11375" i="1"/>
  <c r="B11877" i="1"/>
  <c r="B12688" i="1"/>
  <c r="B12078" i="1"/>
  <c r="B1915" i="1"/>
  <c r="B4936" i="1"/>
  <c r="B621" i="1"/>
  <c r="B2466" i="1"/>
  <c r="B1648" i="1"/>
  <c r="B11631" i="1"/>
  <c r="B2378" i="1"/>
  <c r="B9232" i="1"/>
  <c r="B1638" i="1"/>
  <c r="B2470" i="1"/>
  <c r="B11697" i="1"/>
  <c r="B8936" i="1"/>
  <c r="B3937" i="1"/>
  <c r="B7325" i="1"/>
  <c r="B11926" i="1"/>
  <c r="B14381" i="1"/>
  <c r="B4116" i="1"/>
  <c r="B11622" i="1"/>
  <c r="B2070" i="1"/>
  <c r="B5128" i="1"/>
  <c r="B16362" i="1"/>
  <c r="B8943" i="1"/>
  <c r="B11006" i="1"/>
  <c r="B1362" i="1"/>
  <c r="B2306" i="1"/>
  <c r="B9367" i="1"/>
  <c r="B17974" i="1"/>
  <c r="B17964" i="1"/>
  <c r="B14777" i="1"/>
  <c r="B1878" i="1"/>
  <c r="B992" i="1"/>
  <c r="B2016" i="1"/>
  <c r="B3979" i="1"/>
  <c r="B1335" i="1"/>
  <c r="B1000" i="1"/>
  <c r="B10673" i="1"/>
  <c r="B13022" i="1"/>
  <c r="B5232" i="1"/>
  <c r="B2767" i="1"/>
  <c r="B5016" i="1"/>
  <c r="B7202" i="1"/>
  <c r="B14040" i="1"/>
  <c r="B3326" i="1"/>
  <c r="B8222" i="1"/>
  <c r="B7421" i="1"/>
  <c r="B6563" i="1"/>
  <c r="B13694" i="1"/>
  <c r="B3408" i="1"/>
  <c r="B7680" i="1"/>
  <c r="B15437" i="1"/>
  <c r="B978" i="1"/>
  <c r="B10668" i="1"/>
  <c r="B3324" i="1"/>
  <c r="B11164" i="1"/>
  <c r="B9339" i="1"/>
  <c r="B6982" i="1"/>
  <c r="B10" i="1"/>
  <c r="B6642" i="1"/>
  <c r="B3726" i="1"/>
  <c r="B14563" i="1"/>
  <c r="B14841" i="1"/>
  <c r="B15703" i="1"/>
  <c r="B14927" i="1"/>
  <c r="B6973" i="1"/>
  <c r="B5498" i="1"/>
  <c r="B7151" i="1"/>
  <c r="B2420" i="1"/>
  <c r="B13414" i="1"/>
  <c r="B14272" i="1"/>
  <c r="B10233" i="1"/>
  <c r="B6267" i="1"/>
  <c r="B2031" i="1"/>
  <c r="B2226" i="1"/>
  <c r="B4395" i="1"/>
  <c r="B17912" i="1"/>
  <c r="B16189" i="1"/>
  <c r="B2207" i="1"/>
  <c r="B5200" i="1"/>
  <c r="B890" i="1"/>
  <c r="B4593" i="1"/>
  <c r="B189" i="1"/>
  <c r="B4677" i="1"/>
  <c r="B12713" i="1"/>
  <c r="B4511" i="1"/>
  <c r="B3943" i="1"/>
  <c r="B13629" i="1"/>
  <c r="B2291" i="1"/>
  <c r="B1286" i="1"/>
  <c r="B12899" i="1"/>
  <c r="B2584" i="1"/>
  <c r="B3175" i="1"/>
  <c r="B4902" i="1"/>
  <c r="B1522" i="1"/>
  <c r="B6827" i="1"/>
  <c r="B2455" i="1"/>
  <c r="B2437" i="1"/>
  <c r="B10765" i="1"/>
  <c r="B3604" i="1"/>
  <c r="B2413" i="1"/>
  <c r="B1851" i="1"/>
  <c r="B3171" i="1"/>
  <c r="B2679" i="1"/>
  <c r="B12547" i="1"/>
  <c r="B11144" i="1"/>
  <c r="B14416" i="1"/>
  <c r="B13264" i="1"/>
  <c r="B5613" i="1"/>
  <c r="B3500" i="1"/>
  <c r="B12934" i="1"/>
  <c r="B864" i="1"/>
  <c r="B2450" i="1"/>
  <c r="B2472" i="1"/>
  <c r="B14438" i="1"/>
  <c r="B3321" i="1"/>
  <c r="B11116" i="1"/>
  <c r="B8137" i="1"/>
  <c r="B8362" i="1"/>
  <c r="B8364" i="1"/>
  <c r="B7222" i="1"/>
  <c r="B9258" i="1"/>
  <c r="B8181" i="1"/>
  <c r="B9452" i="1"/>
  <c r="B8081" i="1"/>
  <c r="B7883" i="1"/>
  <c r="B7124" i="1"/>
  <c r="B8013" i="1"/>
  <c r="B2800" i="1"/>
  <c r="B7216" i="1"/>
  <c r="B1008" i="1"/>
  <c r="B2573" i="1"/>
  <c r="B5061" i="1"/>
  <c r="B2360" i="1"/>
  <c r="B2030" i="1"/>
  <c r="B8214" i="1"/>
  <c r="B2246" i="1"/>
  <c r="B14905" i="1"/>
  <c r="B7425" i="1"/>
  <c r="B4177" i="1"/>
  <c r="B2318" i="1"/>
  <c r="B3850" i="1"/>
  <c r="B13312" i="1"/>
  <c r="B995" i="1"/>
  <c r="B2562" i="1"/>
  <c r="B15993" i="1"/>
  <c r="B7698" i="1"/>
  <c r="B7146" i="1"/>
  <c r="B8125" i="1"/>
  <c r="B7028" i="1"/>
  <c r="B2399" i="1"/>
  <c r="B12377" i="1"/>
  <c r="B2006" i="1"/>
  <c r="B2308" i="1"/>
  <c r="B2740" i="1"/>
  <c r="B6626" i="1"/>
  <c r="B961" i="1"/>
  <c r="B1554" i="1"/>
  <c r="B7237" i="1"/>
  <c r="B2401" i="1"/>
  <c r="B3601" i="1"/>
  <c r="B7537" i="1"/>
  <c r="B8213" i="1"/>
  <c r="B5504" i="1"/>
  <c r="B14447" i="1"/>
  <c r="B6654" i="1"/>
  <c r="B2836" i="1"/>
  <c r="B13215" i="1"/>
  <c r="B16332" i="1"/>
  <c r="B3654" i="1"/>
  <c r="B13886" i="1"/>
  <c r="B12793" i="1"/>
  <c r="B3302" i="1"/>
  <c r="B10963" i="1"/>
  <c r="B14497" i="1"/>
  <c r="B4818" i="1"/>
  <c r="B5139" i="1"/>
  <c r="B10868" i="1"/>
  <c r="B10050" i="1"/>
  <c r="B4559" i="1"/>
  <c r="B8861" i="1"/>
  <c r="B11381" i="1"/>
  <c r="B14095" i="1"/>
  <c r="B10744" i="1"/>
  <c r="B4097" i="1"/>
  <c r="B2407" i="1"/>
  <c r="B3018" i="1"/>
  <c r="B259" i="1"/>
  <c r="B7371" i="1"/>
  <c r="B10447" i="1"/>
  <c r="B9447" i="1"/>
  <c r="B12096" i="1"/>
  <c r="B5639" i="1"/>
  <c r="B10958" i="1"/>
  <c r="B13064" i="1"/>
  <c r="B5499" i="1"/>
  <c r="B12509" i="1"/>
  <c r="B13647" i="1"/>
  <c r="B11835" i="1"/>
  <c r="B9568" i="1"/>
  <c r="B9601" i="1"/>
  <c r="B13145" i="1"/>
  <c r="B1700" i="1"/>
  <c r="B3086" i="1"/>
  <c r="B10084" i="1"/>
  <c r="B7691" i="1"/>
  <c r="B1703" i="1"/>
  <c r="B7922" i="1"/>
  <c r="B13498" i="1"/>
  <c r="B1023" i="1"/>
  <c r="B8767" i="1"/>
  <c r="B3852" i="1"/>
  <c r="B2655" i="1"/>
  <c r="B1402" i="1"/>
  <c r="B5419" i="1"/>
  <c r="B4057" i="1"/>
  <c r="B4564" i="1"/>
  <c r="B2195" i="1"/>
  <c r="B3258" i="1"/>
  <c r="B1151" i="1"/>
  <c r="B4501" i="1"/>
  <c r="B13887" i="1"/>
  <c r="B8755" i="1"/>
  <c r="B11524" i="1"/>
  <c r="B13371" i="1"/>
  <c r="B5228" i="1"/>
  <c r="B4860" i="1"/>
  <c r="B2409" i="1"/>
  <c r="B2406" i="1"/>
  <c r="B3992" i="1"/>
  <c r="B3818" i="1"/>
  <c r="B4464" i="1"/>
  <c r="B14319" i="1"/>
  <c r="B17321" i="1"/>
  <c r="B7726" i="1"/>
  <c r="B4983" i="1"/>
  <c r="B4835" i="1"/>
  <c r="B17493" i="1"/>
  <c r="B6696" i="1"/>
  <c r="B11866" i="1"/>
  <c r="B17870" i="1"/>
  <c r="B11392" i="1"/>
  <c r="B9061" i="1"/>
  <c r="B17828" i="1"/>
  <c r="B11373" i="1"/>
  <c r="B6828" i="1"/>
  <c r="B35" i="1"/>
  <c r="B4932" i="1"/>
  <c r="B16827" i="1"/>
  <c r="B4037" i="1"/>
  <c r="B11912" i="1"/>
  <c r="B3109" i="1"/>
  <c r="B704" i="1"/>
  <c r="B13202" i="1"/>
  <c r="B3993" i="1"/>
  <c r="B3405" i="1"/>
  <c r="B5271" i="1"/>
  <c r="B13039" i="1"/>
  <c r="B12285" i="1"/>
  <c r="B11606" i="1"/>
  <c r="B7760" i="1"/>
  <c r="B11798" i="1"/>
  <c r="B7739" i="1"/>
  <c r="B7891" i="1"/>
  <c r="B7731" i="1"/>
  <c r="B7797" i="1"/>
  <c r="B8071" i="1"/>
  <c r="B11896" i="1"/>
  <c r="B7890" i="1"/>
  <c r="B5696" i="1"/>
  <c r="B10867" i="1"/>
  <c r="B2656" i="1"/>
  <c r="B4631" i="1"/>
  <c r="B7711" i="1"/>
  <c r="B7745" i="1"/>
  <c r="B4893" i="1"/>
  <c r="B2355" i="1"/>
  <c r="B4551" i="1"/>
  <c r="B11259" i="1"/>
  <c r="B6993" i="1"/>
  <c r="B11385" i="1"/>
  <c r="B4943" i="1"/>
  <c r="B2943" i="1"/>
  <c r="B13268" i="1"/>
  <c r="B12428" i="1"/>
  <c r="B12083" i="1"/>
  <c r="B1981" i="1"/>
  <c r="B1964" i="1"/>
  <c r="B8734" i="1"/>
  <c r="B6883" i="1"/>
  <c r="B12430" i="1"/>
  <c r="B14630" i="1"/>
  <c r="B9516" i="1"/>
  <c r="B5332" i="1"/>
  <c r="B2131" i="1"/>
  <c r="B4094" i="1"/>
  <c r="B4318" i="1"/>
  <c r="B11107" i="1"/>
  <c r="B4163" i="1"/>
  <c r="B14645" i="1"/>
  <c r="B7776" i="1"/>
  <c r="B15574" i="1"/>
  <c r="B7383" i="1"/>
  <c r="B12567" i="1"/>
  <c r="B6109" i="1"/>
  <c r="B13162" i="1"/>
  <c r="B2119" i="1"/>
  <c r="B5069" i="1"/>
  <c r="B2216" i="1"/>
  <c r="B14144" i="1"/>
  <c r="B11081" i="1"/>
  <c r="B9204" i="1"/>
  <c r="B256" i="1"/>
  <c r="B4446" i="1"/>
  <c r="B11843" i="1"/>
  <c r="B9774" i="1"/>
  <c r="B5388" i="1"/>
  <c r="B8884" i="1"/>
  <c r="B7912" i="1"/>
  <c r="B2459" i="1"/>
  <c r="B8246" i="1"/>
  <c r="B509" i="1"/>
  <c r="B7709" i="1"/>
  <c r="B4052" i="1"/>
  <c r="B3003" i="1"/>
  <c r="B6427" i="1"/>
  <c r="B1065" i="1"/>
  <c r="B7853" i="1"/>
  <c r="B14115" i="1"/>
  <c r="B1542" i="1"/>
  <c r="B3946" i="1"/>
  <c r="B10736" i="1"/>
  <c r="B5239" i="1"/>
  <c r="B3306" i="1"/>
  <c r="B3134" i="1"/>
  <c r="B8719" i="1"/>
  <c r="B5841" i="1"/>
  <c r="B13776" i="1"/>
  <c r="B5836" i="1"/>
  <c r="B10262" i="1"/>
  <c r="B4019" i="1"/>
  <c r="B1409" i="1"/>
  <c r="B2142" i="1"/>
  <c r="B15428" i="1"/>
  <c r="B14821" i="1"/>
  <c r="B11100" i="1"/>
  <c r="B14098" i="1"/>
  <c r="B290" i="1"/>
  <c r="B13305" i="1"/>
  <c r="B4863" i="1"/>
  <c r="B3147" i="1"/>
  <c r="B4393" i="1"/>
  <c r="B11103" i="1"/>
  <c r="B14018" i="1"/>
  <c r="B2555" i="1"/>
  <c r="B13372" i="1"/>
  <c r="B12549" i="1"/>
  <c r="B9795" i="1"/>
  <c r="B11419" i="1"/>
  <c r="B1690" i="1"/>
  <c r="B12268" i="1"/>
  <c r="B11799" i="1"/>
  <c r="B13793" i="1"/>
  <c r="B14444" i="1"/>
  <c r="B10660" i="1"/>
  <c r="B7628" i="1"/>
  <c r="B14796" i="1"/>
  <c r="B6797" i="1"/>
  <c r="B16374" i="1"/>
  <c r="B1617" i="1"/>
  <c r="B17459" i="1"/>
  <c r="B15047" i="1"/>
  <c r="B3944" i="1"/>
  <c r="B4664" i="1"/>
  <c r="B1647" i="1"/>
  <c r="B6824" i="1"/>
  <c r="B17862" i="1"/>
  <c r="B14396" i="1"/>
  <c r="B3112" i="1"/>
  <c r="B7159" i="1"/>
  <c r="B13329" i="1"/>
  <c r="B3737" i="1"/>
  <c r="B5463" i="1"/>
  <c r="B1673" i="1"/>
  <c r="B12584" i="1"/>
  <c r="B7279" i="1"/>
  <c r="B5109" i="1"/>
  <c r="B13830" i="1"/>
  <c r="B1967" i="1"/>
  <c r="B6854" i="1"/>
  <c r="B5217" i="1"/>
  <c r="B5093" i="1"/>
  <c r="B3682" i="1"/>
  <c r="B4563" i="1"/>
  <c r="B4361" i="1"/>
  <c r="B3016" i="1"/>
  <c r="B7095" i="1"/>
  <c r="B10361" i="1"/>
  <c r="B6747" i="1"/>
  <c r="B13774" i="1"/>
  <c r="B14165" i="1"/>
  <c r="B10621" i="1"/>
  <c r="B1654" i="1"/>
  <c r="B5991" i="1"/>
  <c r="B5846" i="1"/>
  <c r="B12457" i="1"/>
  <c r="B14826" i="1"/>
  <c r="B10002" i="1"/>
  <c r="B7233" i="1"/>
  <c r="B5609" i="1"/>
  <c r="B4443" i="1"/>
  <c r="B11817" i="1"/>
  <c r="B14038" i="1"/>
  <c r="B2668" i="1"/>
  <c r="B13412" i="1"/>
  <c r="B4278" i="1"/>
  <c r="B3303" i="1"/>
  <c r="B4090" i="1"/>
  <c r="B12445" i="1"/>
  <c r="B8210" i="1"/>
  <c r="B3527" i="1"/>
  <c r="B4311" i="1"/>
  <c r="B5235" i="1"/>
  <c r="B9506" i="1"/>
  <c r="B2453" i="1"/>
  <c r="B5305" i="1"/>
  <c r="B952" i="1"/>
  <c r="B16031" i="1"/>
  <c r="B7006" i="1"/>
  <c r="B6550" i="1"/>
  <c r="B10750" i="1"/>
  <c r="B15451" i="1"/>
  <c r="B3375" i="1"/>
  <c r="B2188" i="1"/>
  <c r="B9153" i="1"/>
  <c r="B4000" i="1"/>
  <c r="B9902" i="1"/>
  <c r="B7386" i="1"/>
  <c r="B4178" i="1"/>
  <c r="B984" i="1"/>
  <c r="B3189" i="1"/>
  <c r="B584" i="1"/>
  <c r="B11973" i="1"/>
  <c r="B14756" i="1"/>
  <c r="B1932" i="1"/>
  <c r="B11673" i="1"/>
  <c r="B13597" i="1"/>
  <c r="B12167" i="1"/>
  <c r="B6752" i="1"/>
  <c r="B1625" i="1"/>
  <c r="B5536" i="1"/>
  <c r="B16124" i="1"/>
  <c r="B14553" i="1"/>
  <c r="B11165" i="1"/>
  <c r="B11024" i="1"/>
  <c r="B7762" i="1"/>
  <c r="B2939" i="1"/>
  <c r="B6043" i="1"/>
  <c r="B11141" i="1"/>
  <c r="B2429" i="1"/>
  <c r="B8643" i="1"/>
  <c r="B5481" i="1"/>
  <c r="B2754" i="1"/>
  <c r="B11282" i="1"/>
  <c r="B3190" i="1"/>
  <c r="B7341" i="1"/>
  <c r="B2632" i="1"/>
  <c r="B3582" i="1"/>
  <c r="B10412" i="1"/>
  <c r="B13273" i="1"/>
  <c r="B10734" i="1"/>
  <c r="B10286" i="1"/>
  <c r="B2865" i="1"/>
  <c r="B2948" i="1"/>
  <c r="B7353" i="1"/>
  <c r="B780" i="1"/>
  <c r="B16194" i="1"/>
  <c r="B2794" i="1"/>
  <c r="B4053" i="1"/>
  <c r="B8093" i="1"/>
  <c r="B5805" i="1"/>
  <c r="B5444" i="1"/>
  <c r="B5863" i="1"/>
  <c r="B6020" i="1"/>
  <c r="B5888" i="1"/>
  <c r="B14329" i="1"/>
  <c r="B2029" i="1"/>
  <c r="B5862" i="1"/>
  <c r="B9104" i="1"/>
  <c r="B5930" i="1"/>
  <c r="B8491" i="1"/>
  <c r="B807" i="2"/>
  <c r="B2194" i="2"/>
  <c r="B815" i="2"/>
  <c r="B3337" i="2"/>
  <c r="B3412" i="2"/>
  <c r="B2008" i="2"/>
  <c r="B3136" i="2"/>
  <c r="B2133" i="2"/>
  <c r="B2895" i="2"/>
  <c r="B961" i="2"/>
  <c r="B758" i="2"/>
  <c r="B1060" i="2"/>
  <c r="B2934" i="2"/>
  <c r="B1499" i="2"/>
  <c r="B3172" i="2"/>
  <c r="B3365" i="2"/>
  <c r="B1206" i="2"/>
  <c r="B2944" i="2"/>
  <c r="B3452" i="2"/>
  <c r="B217" i="2"/>
  <c r="B3372" i="2"/>
  <c r="B2317" i="2"/>
  <c r="B1082" i="2"/>
  <c r="B2843" i="2"/>
  <c r="B3386" i="2"/>
  <c r="B733" i="2"/>
  <c r="B351" i="2"/>
  <c r="B735" i="2"/>
  <c r="B175" i="2"/>
  <c r="B3012" i="2"/>
  <c r="B3032" i="2"/>
  <c r="B490" i="2"/>
  <c r="B2068" i="2"/>
  <c r="B3278" i="2"/>
  <c r="B1067" i="2"/>
  <c r="B618" i="2"/>
  <c r="B966" i="2"/>
  <c r="B389" i="2"/>
  <c r="B695" i="2"/>
  <c r="B3291" i="2"/>
  <c r="B2090" i="2"/>
  <c r="B615" i="2"/>
  <c r="B3145" i="2"/>
  <c r="B2957" i="2"/>
  <c r="B3026" i="2"/>
  <c r="B2536" i="2"/>
  <c r="B619" i="2"/>
  <c r="B576" i="2"/>
  <c r="B2862" i="2"/>
  <c r="B1177" i="2"/>
  <c r="B3277" i="2"/>
  <c r="B836" i="2"/>
  <c r="B564" i="2"/>
  <c r="B1872" i="2"/>
  <c r="B2037" i="2"/>
  <c r="B3349" i="2"/>
  <c r="B2817" i="2"/>
  <c r="B3268" i="2"/>
  <c r="B964" i="2"/>
  <c r="B1941" i="2"/>
  <c r="B2761" i="2"/>
  <c r="B2788" i="2"/>
  <c r="B1256" i="2"/>
  <c r="B3490" i="2"/>
  <c r="B652" i="2"/>
  <c r="B429" i="2"/>
  <c r="B3173" i="2"/>
  <c r="B1934" i="2"/>
  <c r="B2563" i="2"/>
  <c r="B397" i="2"/>
  <c r="B939" i="2"/>
  <c r="B666" i="2"/>
  <c r="B3280" i="2"/>
  <c r="B679" i="2"/>
  <c r="B3450" i="2"/>
  <c r="B1081" i="2"/>
  <c r="B670" i="2"/>
  <c r="B1099" i="2"/>
  <c r="B3332" i="2"/>
  <c r="B748" i="2"/>
  <c r="B2159" i="2"/>
  <c r="B2609" i="2"/>
  <c r="B846" i="2"/>
  <c r="B2498" i="2"/>
  <c r="B2098" i="2"/>
  <c r="B3219" i="2"/>
  <c r="B3005" i="2"/>
  <c r="B357" i="2"/>
  <c r="B3299" i="2"/>
  <c r="B2075" i="2"/>
  <c r="B3169" i="2"/>
  <c r="B2186" i="2"/>
  <c r="B749" i="2"/>
  <c r="B2595" i="2"/>
  <c r="B1257" i="2"/>
  <c r="B2081" i="2"/>
  <c r="B246" i="2"/>
  <c r="B710" i="2"/>
  <c r="B3202" i="2"/>
  <c r="B2629" i="2"/>
  <c r="B3344" i="2"/>
  <c r="B2293" i="2"/>
  <c r="B444" i="2"/>
  <c r="B2215" i="2"/>
  <c r="B1409" i="2"/>
  <c r="B597" i="2"/>
  <c r="B1936" i="2"/>
  <c r="B1094" i="2"/>
  <c r="B1017" i="2"/>
  <c r="B2383" i="2"/>
  <c r="B1009" i="2"/>
  <c r="B3307" i="2"/>
  <c r="B962" i="2"/>
  <c r="B2793" i="2"/>
  <c r="B456" i="2"/>
  <c r="B3345" i="2"/>
  <c r="B3055" i="2"/>
  <c r="B782" i="2"/>
  <c r="B714" i="2"/>
  <c r="B3025" i="2"/>
  <c r="B3056" i="2"/>
  <c r="B154" i="2"/>
  <c r="B2760" i="2"/>
  <c r="B581" i="2"/>
  <c r="B2096" i="2"/>
  <c r="B2867" i="2"/>
  <c r="B718" i="2"/>
  <c r="B145" i="2"/>
  <c r="B2457" i="2"/>
  <c r="B3144" i="2"/>
  <c r="B3158" i="2"/>
  <c r="B377" i="2"/>
  <c r="B2014" i="2"/>
  <c r="B3162" i="2"/>
  <c r="B1938" i="2"/>
  <c r="B2970" i="2"/>
  <c r="B844" i="2"/>
  <c r="B1323" i="2"/>
  <c r="B3166" i="2"/>
  <c r="B711" i="2"/>
  <c r="B613" i="2"/>
  <c r="B2902" i="2"/>
  <c r="B632" i="2"/>
  <c r="B2553" i="2"/>
  <c r="B2865" i="2"/>
  <c r="B28" i="2"/>
  <c r="B3223" i="2"/>
  <c r="B3028" i="2"/>
  <c r="B23" i="2"/>
  <c r="B2914" i="2"/>
  <c r="B582" i="2"/>
  <c r="B436" i="2"/>
  <c r="B3251" i="2"/>
  <c r="B2359" i="2"/>
  <c r="B683" i="2"/>
  <c r="B693" i="2"/>
  <c r="B332" i="2"/>
  <c r="B3222" i="2"/>
  <c r="B1096" i="2"/>
  <c r="B1267" i="2"/>
  <c r="B399" i="2"/>
  <c r="B3394" i="2"/>
  <c r="B1411" i="2"/>
  <c r="B2861" i="2"/>
  <c r="B2306" i="2"/>
  <c r="B2746" i="2"/>
  <c r="B186" i="2"/>
  <c r="B856" i="2"/>
  <c r="B3373" i="2"/>
  <c r="B3403" i="2"/>
  <c r="B469" i="2"/>
  <c r="B3137" i="2"/>
  <c r="B762" i="2"/>
  <c r="B3133" i="2"/>
  <c r="B1252" i="2"/>
  <c r="B475" i="2"/>
  <c r="B2998" i="2"/>
  <c r="B2894" i="2"/>
  <c r="B2696" i="2"/>
  <c r="B2347" i="2"/>
  <c r="B3418" i="2"/>
  <c r="B3027" i="2"/>
  <c r="B457" i="2"/>
  <c r="B547" i="2"/>
  <c r="B967" i="2"/>
  <c r="B2645" i="2"/>
  <c r="B550" i="2"/>
  <c r="B605" i="2"/>
  <c r="B2032" i="2"/>
  <c r="B2322" i="2"/>
  <c r="B477" i="2"/>
  <c r="B1373" i="2"/>
  <c r="B1545" i="2"/>
  <c r="B2115" i="2"/>
  <c r="B1156" i="2"/>
  <c r="B2034" i="2"/>
  <c r="B1011" i="2"/>
  <c r="B1834" i="2"/>
  <c r="B600" i="2"/>
  <c r="B1362" i="2"/>
  <c r="B235" i="2"/>
  <c r="B1424" i="2"/>
  <c r="B2053" i="2"/>
  <c r="B2304" i="2"/>
  <c r="B2291" i="2"/>
  <c r="B2265" i="2"/>
  <c r="B798" i="2"/>
  <c r="B3505" i="2"/>
  <c r="B2111" i="2"/>
  <c r="B2237" i="2"/>
  <c r="B871" i="2"/>
  <c r="B3243" i="2"/>
  <c r="B41" i="2"/>
  <c r="B1026" i="2"/>
  <c r="B3422" i="2"/>
  <c r="B3001" i="2"/>
  <c r="B1050" i="2"/>
  <c r="B985" i="2"/>
  <c r="B2146" i="2"/>
  <c r="B1445" i="2"/>
  <c r="B1945" i="2"/>
  <c r="B2372" i="2"/>
  <c r="B2700" i="2"/>
  <c r="B3390" i="2"/>
  <c r="B1311" i="2"/>
  <c r="B2566" i="2"/>
  <c r="B2463" i="2"/>
  <c r="B2313" i="2"/>
  <c r="B1860" i="2"/>
  <c r="B1795" i="2"/>
  <c r="B2745" i="2"/>
  <c r="B1968" i="2"/>
  <c r="B1124" i="2"/>
  <c r="B1713" i="2"/>
  <c r="B15" i="2"/>
  <c r="B2342" i="2"/>
  <c r="B284" i="2"/>
  <c r="B1750" i="2"/>
  <c r="B2819" i="2"/>
  <c r="B3098" i="2"/>
  <c r="B2258" i="2"/>
  <c r="B1973" i="2"/>
  <c r="B1122" i="2"/>
  <c r="B105" i="2"/>
  <c r="B2023" i="2"/>
  <c r="B141" i="2"/>
  <c r="B437" i="2"/>
  <c r="B1247" i="2"/>
  <c r="B1150" i="2"/>
  <c r="B1208" i="2"/>
  <c r="B3459" i="2"/>
  <c r="B2469" i="2"/>
  <c r="B3095" i="2"/>
  <c r="B2625" i="2"/>
  <c r="B2491" i="2"/>
  <c r="B1946" i="2"/>
  <c r="B3178" i="2"/>
  <c r="B2523" i="2"/>
  <c r="B1982" i="2"/>
  <c r="B2445" i="2"/>
  <c r="B220" i="2"/>
  <c r="B223" i="2"/>
  <c r="B187" i="2"/>
  <c r="B144" i="2"/>
  <c r="B1850" i="2"/>
  <c r="B9" i="2"/>
  <c r="B1918" i="2"/>
  <c r="B1163" i="2"/>
  <c r="B960" i="2"/>
  <c r="B1717" i="2"/>
  <c r="B2435" i="2"/>
  <c r="B1634" i="2"/>
  <c r="B3388" i="2"/>
  <c r="B17" i="2"/>
  <c r="B1557" i="2"/>
  <c r="B1909" i="2"/>
  <c r="B1950" i="2"/>
  <c r="B2403" i="2"/>
  <c r="B1921" i="2"/>
  <c r="B1748" i="2"/>
  <c r="B1666" i="2"/>
  <c r="B1237" i="2"/>
  <c r="B1265" i="2"/>
  <c r="B2506" i="2"/>
  <c r="B489" i="2"/>
  <c r="B3356" i="2"/>
  <c r="B3502" i="2"/>
  <c r="B3150" i="2"/>
  <c r="B3252" i="2"/>
  <c r="B951" i="2"/>
  <c r="B1708" i="2"/>
  <c r="B1737" i="2"/>
  <c r="B35" i="2"/>
  <c r="B10" i="2"/>
  <c r="B1231" i="2"/>
  <c r="B1180" i="2"/>
  <c r="B1880" i="2"/>
  <c r="B3241" i="2"/>
  <c r="B165" i="2"/>
  <c r="B170" i="2"/>
  <c r="B1310" i="2"/>
  <c r="B1309" i="2"/>
  <c r="B1976" i="2"/>
  <c r="B3437" i="2"/>
  <c r="B1889" i="2"/>
  <c r="B2429" i="2"/>
  <c r="B2796" i="2"/>
  <c r="B2549" i="2"/>
  <c r="B904" i="2"/>
  <c r="B877" i="2"/>
  <c r="B3239" i="2"/>
  <c r="B1875" i="2"/>
  <c r="B2218" i="2"/>
  <c r="B1571" i="2"/>
  <c r="B833" i="2"/>
  <c r="B2446" i="2"/>
  <c r="B1779" i="2"/>
  <c r="B1803" i="2"/>
  <c r="B1455" i="2"/>
  <c r="B1385" i="2"/>
  <c r="B46" i="2"/>
  <c r="B134" i="2"/>
  <c r="B3292" i="2"/>
  <c r="B1963" i="2"/>
  <c r="B1125" i="2"/>
  <c r="B1353" i="2"/>
  <c r="B1998" i="2"/>
  <c r="B3265" i="2"/>
  <c r="B1594" i="2"/>
  <c r="B889" i="2"/>
  <c r="B1144" i="2"/>
  <c r="B3015" i="2"/>
  <c r="B645" i="2"/>
  <c r="B1512" i="2"/>
  <c r="B1888" i="2"/>
  <c r="B1607" i="2"/>
  <c r="B1219" i="2"/>
  <c r="B1566" i="2"/>
  <c r="B732" i="2"/>
  <c r="B3471" i="2"/>
  <c r="B1724" i="2"/>
  <c r="B1403" i="2"/>
  <c r="B1693" i="2"/>
  <c r="B1485" i="2"/>
  <c r="B1465" i="2"/>
  <c r="B1187" i="2"/>
  <c r="B2654" i="2"/>
  <c r="B1014" i="2"/>
  <c r="B1444" i="2"/>
  <c r="B1986" i="2"/>
  <c r="B854" i="2"/>
  <c r="B1504" i="2"/>
  <c r="B2433" i="2"/>
  <c r="B2269" i="2"/>
  <c r="B2656" i="2"/>
  <c r="B1561" i="2"/>
  <c r="B2630" i="2"/>
  <c r="B1759" i="2"/>
  <c r="B609" i="2"/>
  <c r="B36" i="2"/>
  <c r="B1175" i="2"/>
  <c r="B1203" i="2"/>
  <c r="B2572" i="2"/>
  <c r="B1207" i="2"/>
  <c r="B64" i="2"/>
  <c r="B2945" i="2"/>
  <c r="B232" i="2"/>
  <c r="B2002" i="2"/>
  <c r="B631" i="2"/>
  <c r="B2961" i="2"/>
  <c r="B1894" i="2"/>
  <c r="B2952" i="2"/>
  <c r="B30" i="2"/>
  <c r="B2188" i="2"/>
  <c r="B2756" i="2"/>
  <c r="B2061" i="2"/>
  <c r="B2398" i="2"/>
  <c r="B2483" i="2"/>
  <c r="B2228" i="2"/>
  <c r="B2047" i="2"/>
  <c r="B2255" i="2"/>
  <c r="B1419" i="2"/>
  <c r="B1389" i="2"/>
  <c r="B2000" i="2"/>
  <c r="B467" i="2"/>
  <c r="B801" i="2"/>
  <c r="B1883" i="2"/>
  <c r="B1611" i="2"/>
  <c r="B1222" i="2"/>
  <c r="B326" i="2"/>
  <c r="B1845" i="2"/>
  <c r="B1939" i="2"/>
  <c r="B310" i="2"/>
  <c r="B959" i="2"/>
  <c r="B3135" i="2"/>
  <c r="B1127" i="2"/>
  <c r="B1741" i="2"/>
  <c r="B1757" i="2"/>
  <c r="B1288" i="2"/>
  <c r="B245" i="2"/>
  <c r="B1914" i="2"/>
  <c r="B1198" i="2"/>
  <c r="B2251" i="2"/>
  <c r="B123" i="2"/>
  <c r="B2516" i="2"/>
  <c r="B542" i="2"/>
  <c r="B1184" i="2"/>
  <c r="B2975" i="2"/>
  <c r="B343" i="2"/>
  <c r="B1063" i="2"/>
  <c r="B2591" i="2"/>
  <c r="B1579" i="2"/>
  <c r="B1136" i="2"/>
  <c r="B1142" i="2"/>
  <c r="B2631" i="2"/>
  <c r="B1609" i="2"/>
  <c r="B720" i="2"/>
  <c r="B2592" i="2"/>
  <c r="B124" i="2"/>
  <c r="B1650" i="2"/>
  <c r="B1731" i="2"/>
  <c r="B1412" i="2"/>
  <c r="B1315" i="2"/>
  <c r="B2054" i="2"/>
  <c r="B3108" i="2"/>
  <c r="B3342" i="2"/>
  <c r="B3293" i="2"/>
  <c r="B1870" i="2"/>
  <c r="B817" i="2"/>
  <c r="B1139" i="2"/>
  <c r="B3247" i="2"/>
  <c r="B373" i="2"/>
  <c r="B2930" i="2"/>
  <c r="B2375" i="2"/>
  <c r="B116" i="2"/>
  <c r="B2588" i="2"/>
  <c r="B2030" i="2"/>
  <c r="B764" i="2"/>
  <c r="B1586" i="2"/>
  <c r="B1535" i="2"/>
  <c r="B1047" i="2"/>
  <c r="B2222" i="2"/>
  <c r="B1467" i="2"/>
  <c r="B2005" i="2"/>
  <c r="B1842" i="2"/>
  <c r="B1568" i="2"/>
  <c r="B2575" i="2"/>
  <c r="B1157" i="2"/>
  <c r="B797" i="2"/>
  <c r="B2285" i="2"/>
  <c r="B2352" i="2"/>
  <c r="B1687" i="2"/>
  <c r="B599" i="2"/>
  <c r="B3309" i="2"/>
  <c r="B806" i="2"/>
  <c r="B1380" i="2"/>
  <c r="B252" i="2"/>
  <c r="B1446" i="2"/>
  <c r="B481" i="2"/>
  <c r="B1241" i="2"/>
  <c r="B269" i="2"/>
  <c r="B212" i="2"/>
  <c r="B1263" i="2"/>
  <c r="B839" i="2"/>
  <c r="B1152" i="2"/>
  <c r="B2441" i="2"/>
  <c r="B2808" i="2"/>
  <c r="B2036" i="2"/>
  <c r="B1802" i="2"/>
  <c r="B1788" i="2"/>
  <c r="B461" i="2"/>
  <c r="B1659" i="2"/>
  <c r="B1422" i="2"/>
  <c r="B1866" i="2"/>
  <c r="B1356" i="2"/>
  <c r="B1320" i="2"/>
  <c r="B1668" i="2"/>
  <c r="B1459" i="2"/>
  <c r="B1678" i="2"/>
  <c r="B3489" i="2"/>
  <c r="B3184" i="2"/>
  <c r="B24" i="2"/>
  <c r="B1985" i="2"/>
  <c r="B3225" i="2"/>
  <c r="B3201" i="2"/>
  <c r="B1895" i="2"/>
  <c r="B2639" i="2"/>
  <c r="B835" i="2"/>
  <c r="B2912" i="2"/>
  <c r="B1592" i="2"/>
  <c r="B1869" i="2"/>
  <c r="B1833" i="2"/>
  <c r="B1720" i="2"/>
  <c r="B1364" i="2"/>
  <c r="B1021" i="2"/>
  <c r="B940" i="2"/>
  <c r="B1234" i="2"/>
  <c r="B3259" i="2"/>
  <c r="B1701" i="2"/>
  <c r="B394" i="2"/>
  <c r="B1810" i="2"/>
  <c r="B2896" i="2"/>
  <c r="B3009" i="2"/>
  <c r="B1194" i="2"/>
  <c r="B1705" i="2"/>
  <c r="B2332" i="2"/>
  <c r="B1044" i="2"/>
  <c r="B240" i="2"/>
  <c r="B2468" i="2"/>
  <c r="B2413" i="2"/>
  <c r="B2460" i="2"/>
  <c r="B1100" i="2"/>
  <c r="B1787" i="2"/>
  <c r="B2616" i="2"/>
  <c r="B2424" i="2"/>
  <c r="B1625" i="2"/>
  <c r="B2679" i="2"/>
  <c r="B1390" i="2"/>
  <c r="B1183" i="2"/>
  <c r="B1101" i="2"/>
  <c r="B906" i="2"/>
  <c r="B1632" i="2"/>
  <c r="B1176" i="2"/>
  <c r="B1174" i="2"/>
  <c r="B1618" i="2"/>
  <c r="B1121" i="2"/>
  <c r="B897" i="2"/>
  <c r="B1022" i="2"/>
  <c r="B1997" i="2"/>
  <c r="B2904" i="2"/>
  <c r="B2195" i="2"/>
  <c r="B2781" i="2"/>
  <c r="B2581" i="2"/>
  <c r="B1782" i="2"/>
  <c r="B1481" i="2"/>
  <c r="B1653" i="2"/>
  <c r="B1825" i="2"/>
  <c r="B1878" i="2"/>
  <c r="B1676" i="2"/>
  <c r="B1111" i="2"/>
  <c r="B1841" i="2"/>
  <c r="B2095" i="2"/>
  <c r="B3487" i="2"/>
  <c r="B2376" i="2"/>
  <c r="B3479" i="2"/>
  <c r="B1823" i="2"/>
  <c r="B314" i="2"/>
  <c r="B1771" i="2"/>
  <c r="B1700" i="2"/>
  <c r="B1920" i="2"/>
  <c r="B1526" i="2"/>
  <c r="B948" i="2"/>
  <c r="B1472" i="2"/>
  <c r="B1278" i="2"/>
  <c r="B998" i="2"/>
  <c r="B2626" i="2"/>
  <c r="B3033" i="2"/>
  <c r="B2991" i="2"/>
  <c r="B2388" i="2"/>
  <c r="B1995" i="2"/>
  <c r="B1901" i="2"/>
  <c r="B2701" i="2"/>
  <c r="B1848" i="2"/>
  <c r="B2680" i="2"/>
  <c r="B1836" i="2"/>
  <c r="B2585" i="2"/>
  <c r="B1910" i="2"/>
  <c r="B1902" i="2"/>
  <c r="B2702" i="2"/>
  <c r="B1679" i="2"/>
  <c r="B1575" i="2"/>
  <c r="B1762" i="2"/>
  <c r="B426" i="2"/>
  <c r="B1793" i="2"/>
  <c r="B1431" i="2"/>
  <c r="B857" i="2"/>
  <c r="B3106" i="2"/>
  <c r="B2319" i="2"/>
  <c r="B3036" i="2"/>
  <c r="B2299" i="2"/>
  <c r="B1178" i="2"/>
  <c r="B1345" i="2"/>
  <c r="B908" i="2"/>
  <c r="B1116" i="2"/>
  <c r="B2406" i="2"/>
  <c r="B1990" i="2"/>
  <c r="B3402" i="2"/>
  <c r="B911" i="2"/>
  <c r="B1149" i="2"/>
  <c r="B1508" i="2"/>
  <c r="B1189" i="2"/>
  <c r="B2884" i="2"/>
  <c r="B727" i="2"/>
  <c r="B3334" i="2"/>
  <c r="B1789" i="2"/>
  <c r="B1035" i="2"/>
  <c r="B1126" i="2"/>
  <c r="B3442" i="2"/>
  <c r="B1935" i="2"/>
  <c r="B2439" i="2"/>
  <c r="B1631" i="2"/>
  <c r="B1137" i="2"/>
  <c r="B1368" i="2"/>
  <c r="B471" i="2"/>
  <c r="B3287" i="2"/>
  <c r="B234" i="2"/>
  <c r="B1977" i="2"/>
  <c r="B333" i="2"/>
  <c r="B3231" i="2"/>
  <c r="B1975" i="2"/>
  <c r="B2926" i="2"/>
  <c r="B2475" i="2"/>
  <c r="B2029" i="2"/>
  <c r="B3183" i="2"/>
  <c r="B3127" i="2"/>
  <c r="B3186" i="2"/>
  <c r="B3118" i="2"/>
  <c r="B1948" i="2"/>
  <c r="B1405" i="2"/>
  <c r="B1840" i="2"/>
  <c r="B1912" i="2"/>
  <c r="B2800" i="2"/>
  <c r="B166" i="2"/>
  <c r="B503" i="2"/>
  <c r="B1919" i="2"/>
  <c r="B1560" i="2"/>
  <c r="B1778" i="2"/>
  <c r="B656" i="2"/>
  <c r="B907" i="2"/>
  <c r="B1886" i="2"/>
  <c r="B1967" i="2"/>
  <c r="B3498" i="2"/>
  <c r="B3271" i="2"/>
  <c r="B1525" i="2"/>
  <c r="B237" i="2"/>
  <c r="B1307" i="2"/>
  <c r="B451" i="2"/>
  <c r="B1884" i="2"/>
  <c r="B1643" i="2"/>
  <c r="B285" i="2"/>
  <c r="B1712" i="2"/>
  <c r="B969" i="2"/>
  <c r="B1809" i="2"/>
  <c r="B1797" i="2"/>
  <c r="B730" i="2"/>
  <c r="B1076" i="2"/>
  <c r="B1145" i="2"/>
  <c r="B1765" i="2"/>
  <c r="B129" i="2"/>
  <c r="B2573" i="2"/>
  <c r="B113" i="2"/>
  <c r="B1755" i="2"/>
  <c r="B873" i="2"/>
  <c r="B715" i="2"/>
  <c r="B1540" i="2"/>
  <c r="B608" i="2"/>
  <c r="B2419" i="2"/>
  <c r="B3234" i="2"/>
  <c r="B264" i="2"/>
  <c r="B2380" i="2"/>
  <c r="B875" i="2"/>
  <c r="B1644" i="2"/>
  <c r="B2474" i="2"/>
  <c r="B1822" i="2"/>
  <c r="B1863" i="2"/>
  <c r="B1167" i="2"/>
  <c r="B1743" i="2"/>
  <c r="B2187" i="2"/>
  <c r="B1930" i="2"/>
  <c r="B433" i="2"/>
  <c r="B721" i="2"/>
  <c r="B63" i="2"/>
  <c r="B1707" i="2"/>
  <c r="B1905" i="2"/>
  <c r="B1972" i="2"/>
  <c r="B1510" i="2"/>
  <c r="B1952" i="2"/>
  <c r="B1286" i="2"/>
  <c r="B45" i="2"/>
  <c r="B2789" i="2"/>
  <c r="B320" i="2"/>
  <c r="B89" i="2"/>
  <c r="B86" i="2"/>
  <c r="B1448" i="2"/>
  <c r="B2969" i="2"/>
  <c r="B1969" i="2"/>
  <c r="B1490" i="2"/>
  <c r="B156" i="2"/>
  <c r="B103" i="2"/>
  <c r="B894" i="2"/>
  <c r="B2928" i="2"/>
  <c r="B2540" i="2"/>
  <c r="B358" i="2"/>
  <c r="B226" i="2"/>
  <c r="B1622" i="2"/>
  <c r="B43" i="2"/>
  <c r="B2019" i="2"/>
  <c r="B1752" i="2"/>
  <c r="B2239" i="2"/>
  <c r="B909" i="2"/>
  <c r="B214" i="2"/>
  <c r="B2824" i="2"/>
  <c r="B2381" i="2"/>
  <c r="B1709" i="2"/>
  <c r="B2589" i="2"/>
  <c r="B2557" i="2"/>
  <c r="B1254" i="2"/>
  <c r="B2231" i="2"/>
  <c r="B1927" i="2"/>
  <c r="B1906" i="2"/>
  <c r="B2596" i="2"/>
  <c r="B1819" i="2"/>
  <c r="B1520" i="2"/>
  <c r="B1162" i="2"/>
  <c r="B1736" i="2"/>
  <c r="B1970" i="2"/>
  <c r="B922" i="2"/>
  <c r="B1917" i="2"/>
  <c r="B1277" i="2"/>
  <c r="B2192" i="2"/>
  <c r="B1185" i="2"/>
  <c r="B3385" i="2"/>
  <c r="B2792" i="2"/>
  <c r="B957" i="2"/>
  <c r="B874" i="2"/>
  <c r="B2836" i="2"/>
  <c r="B1141" i="2"/>
  <c r="B1702" i="2"/>
  <c r="B2358" i="2"/>
  <c r="B151" i="2"/>
  <c r="B3338" i="2"/>
  <c r="B88" i="2"/>
  <c r="B1578" i="2"/>
  <c r="B1667" i="2"/>
  <c r="B2432" i="2"/>
  <c r="B2684" i="2"/>
  <c r="B1413" i="2"/>
  <c r="B2173" i="2"/>
  <c r="B306" i="2"/>
  <c r="B1173" i="2"/>
  <c r="B313" i="2"/>
  <c r="B1723" i="2"/>
  <c r="B388" i="2"/>
  <c r="B2972" i="2"/>
  <c r="B3496" i="2"/>
  <c r="B3155" i="2"/>
  <c r="B68" i="2"/>
  <c r="B76" i="2"/>
  <c r="B3022" i="2"/>
  <c r="B1617" i="2"/>
  <c r="B2597" i="2"/>
  <c r="B1264" i="2"/>
  <c r="B180" i="2"/>
  <c r="B1758" i="2"/>
  <c r="B1826" i="2"/>
  <c r="B1734" i="2"/>
  <c r="B1406" i="2"/>
  <c r="B943" i="2"/>
  <c r="B278" i="2"/>
  <c r="B360" i="2"/>
  <c r="B3273" i="2"/>
  <c r="B773" i="2"/>
  <c r="B669" i="2"/>
  <c r="B3281" i="2"/>
  <c r="B3116" i="2"/>
  <c r="B3141" i="2"/>
  <c r="B2266" i="2"/>
  <c r="B541" i="2"/>
  <c r="B3374" i="2"/>
  <c r="B38" i="2"/>
  <c r="B1671" i="2"/>
  <c r="B1877" i="2"/>
  <c r="B2741" i="2"/>
  <c r="B1697" i="2"/>
  <c r="B1191" i="2"/>
  <c r="B2244" i="2"/>
  <c r="B1979" i="2"/>
  <c r="B2744" i="2"/>
  <c r="B2738" i="2"/>
  <c r="B1102" i="2"/>
  <c r="B1907" i="2"/>
  <c r="B3254" i="2"/>
  <c r="B1954" i="2"/>
  <c r="B723" i="2"/>
  <c r="B1229" i="2"/>
  <c r="B115" i="2"/>
  <c r="B1959" i="2"/>
  <c r="B2271" i="2"/>
  <c r="B97" i="2"/>
  <c r="B2462" i="2"/>
  <c r="B2076" i="2"/>
  <c r="B2357" i="2"/>
  <c r="B2021" i="2"/>
  <c r="B2411" i="2"/>
  <c r="B192" i="2"/>
  <c r="B3353" i="2"/>
  <c r="B132" i="2"/>
  <c r="B80" i="2"/>
  <c r="B2715" i="2"/>
  <c r="B3017" i="2"/>
  <c r="B2379" i="2"/>
  <c r="B2948" i="2"/>
  <c r="B401" i="2"/>
  <c r="B1722" i="2"/>
  <c r="B2718" i="2"/>
  <c r="B2211" i="2"/>
  <c r="B1756" i="2"/>
  <c r="B136" i="2"/>
  <c r="B905" i="2"/>
  <c r="B3132" i="2"/>
  <c r="B90" i="2"/>
  <c r="B74" i="2"/>
  <c r="B3358" i="2"/>
  <c r="B790" i="2"/>
  <c r="B159" i="2"/>
  <c r="B1641" i="2"/>
  <c r="B455" i="2"/>
  <c r="B2717" i="2"/>
  <c r="B2348" i="2"/>
  <c r="B1129" i="2"/>
  <c r="B1201" i="2"/>
  <c r="B1922" i="2"/>
  <c r="B1804" i="2"/>
  <c r="B1669" i="2"/>
  <c r="B1517" i="2"/>
  <c r="B1646" i="2"/>
  <c r="B1501" i="2"/>
  <c r="B3087" i="2"/>
  <c r="B814" i="2"/>
  <c r="B766" i="2"/>
  <c r="B55" i="2"/>
  <c r="B288" i="2"/>
  <c r="B2229" i="2"/>
  <c r="B2772" i="2"/>
  <c r="B2881" i="2"/>
  <c r="B746" i="2"/>
  <c r="B2521" i="2"/>
  <c r="B3420" i="2"/>
  <c r="B1703" i="2"/>
  <c r="B2548" i="2"/>
  <c r="B2399" i="2"/>
  <c r="B2826" i="2"/>
  <c r="B830" i="2"/>
  <c r="B275" i="2"/>
  <c r="B1626" i="2"/>
  <c r="B611" i="2"/>
  <c r="B491" i="2"/>
  <c r="B441" i="2"/>
  <c r="B1186" i="2"/>
  <c r="B1849" i="2"/>
  <c r="B1507" i="2"/>
  <c r="B1471" i="2"/>
  <c r="B1824" i="2"/>
  <c r="B1988" i="2"/>
  <c r="B879" i="2"/>
  <c r="B1923" i="2"/>
  <c r="B2472" i="2"/>
  <c r="B1255" i="2"/>
  <c r="B3493" i="2"/>
  <c r="B2272" i="2"/>
  <c r="B2610" i="2"/>
  <c r="B808" i="2"/>
  <c r="B2243" i="2"/>
  <c r="B880" i="2"/>
  <c r="B1335" i="2"/>
  <c r="B3240" i="2"/>
  <c r="B821" i="2"/>
  <c r="B754" i="2"/>
  <c r="B810" i="2"/>
  <c r="B1407" i="2"/>
  <c r="B1698" i="2"/>
  <c r="B3091" i="2"/>
  <c r="B2477" i="2"/>
  <c r="B2583" i="2"/>
  <c r="B2749" i="2"/>
  <c r="B2297" i="2"/>
  <c r="B203" i="2"/>
  <c r="B997" i="2"/>
  <c r="B1899" i="2"/>
  <c r="B1715" i="2"/>
  <c r="B231" i="2"/>
  <c r="B2632" i="2"/>
  <c r="B2706" i="2"/>
  <c r="B1796" i="2"/>
  <c r="B2502" i="2"/>
  <c r="B972" i="2"/>
  <c r="B476" i="2"/>
  <c r="B297" i="2"/>
  <c r="B3119" i="2"/>
  <c r="B3270" i="2"/>
  <c r="B769" i="2"/>
  <c r="B2198" i="2"/>
  <c r="B1053" i="2"/>
  <c r="B2982" i="2"/>
  <c r="B3473" i="2"/>
  <c r="B2954" i="2"/>
  <c r="B2410" i="2"/>
  <c r="B2986" i="2"/>
  <c r="B2605" i="2"/>
  <c r="B1269" i="2"/>
  <c r="B1147" i="2"/>
  <c r="B1882" i="2"/>
  <c r="B919" i="2"/>
  <c r="B1358" i="2"/>
  <c r="B1645" i="2"/>
  <c r="B2623" i="2"/>
  <c r="B816" i="2"/>
  <c r="B407" i="2"/>
  <c r="B168" i="2"/>
  <c r="B478" i="2"/>
  <c r="B56" i="2"/>
  <c r="B1987" i="2"/>
  <c r="B1029" i="2"/>
  <c r="B1962" i="2"/>
  <c r="B859" i="2"/>
  <c r="B1777" i="2"/>
  <c r="B1925" i="2"/>
  <c r="B1425" i="2"/>
  <c r="B602" i="2"/>
  <c r="B155" i="2"/>
  <c r="B1538" i="2"/>
  <c r="B1642" i="2"/>
  <c r="B1140" i="2"/>
  <c r="B1212" i="2"/>
  <c r="B1513" i="2"/>
  <c r="B635" i="2"/>
  <c r="B2107" i="2"/>
  <c r="B1293" i="2"/>
  <c r="B1061" i="2"/>
  <c r="B2003" i="2"/>
  <c r="B1160" i="2"/>
  <c r="B829" i="2"/>
  <c r="B3129" i="2"/>
  <c r="B863" i="2"/>
  <c r="B305" i="2"/>
  <c r="B612" i="2"/>
  <c r="B519" i="2"/>
  <c r="B2318" i="2"/>
  <c r="B1259" i="2"/>
  <c r="B2812" i="2"/>
  <c r="B1799" i="2"/>
  <c r="B1087" i="2"/>
  <c r="B2407" i="2"/>
  <c r="B3455" i="2"/>
  <c r="B1577" i="2"/>
  <c r="B1159" i="2"/>
  <c r="B2734" i="2"/>
  <c r="B548" i="2"/>
  <c r="B1761" i="2"/>
  <c r="B2534" i="2"/>
  <c r="B2052" i="2"/>
  <c r="B2537" i="2"/>
  <c r="B2264" i="2"/>
  <c r="B2405" i="2"/>
  <c r="B1853" i="2"/>
  <c r="B247" i="2"/>
  <c r="B2938" i="2"/>
  <c r="B1604" i="2"/>
  <c r="B803" i="2"/>
  <c r="B162" i="2"/>
  <c r="B878" i="2"/>
  <c r="B230" i="2"/>
  <c r="B328" i="2"/>
  <c r="B312" i="2"/>
  <c r="B3495" i="2"/>
  <c r="B1306" i="2"/>
  <c r="B207" i="2"/>
  <c r="B225" i="2"/>
  <c r="B3217" i="2"/>
  <c r="B2394" i="2"/>
  <c r="B1048" i="2"/>
  <c r="B1597" i="2"/>
  <c r="B1361" i="2"/>
  <c r="B1580" i="2"/>
  <c r="B1947" i="2"/>
  <c r="B120" i="2"/>
  <c r="B1384" i="2"/>
  <c r="B2216" i="2"/>
  <c r="B171" i="2"/>
  <c r="B888" i="2"/>
  <c r="B331" i="2"/>
  <c r="B3072" i="2"/>
  <c r="B260" i="2"/>
  <c r="B1655" i="2"/>
  <c r="B2055" i="2"/>
  <c r="B101" i="2"/>
  <c r="B72" i="2"/>
  <c r="B1964" i="2"/>
  <c r="B2259" i="2"/>
  <c r="B927" i="2"/>
  <c r="B1261" i="2"/>
  <c r="B634" i="2"/>
  <c r="B2736" i="2"/>
  <c r="B94" i="2"/>
  <c r="B2209" i="2"/>
  <c r="B1591" i="2"/>
  <c r="B2924" i="2"/>
  <c r="B1563" i="2"/>
  <c r="B2389" i="2"/>
  <c r="B2326" i="2"/>
  <c r="B49" i="2"/>
  <c r="B1474" i="2"/>
  <c r="B327" i="2"/>
  <c r="B345" i="2"/>
  <c r="B2552" i="2"/>
  <c r="B1689" i="2"/>
  <c r="B1282" i="2"/>
  <c r="B1290" i="2"/>
  <c r="B127" i="2"/>
  <c r="B111" i="2"/>
  <c r="B1692" i="2"/>
  <c r="B1339" i="2"/>
  <c r="B1497" i="2"/>
  <c r="B1108" i="2"/>
  <c r="B831" i="2"/>
  <c r="B812" i="2"/>
  <c r="B2913" i="2"/>
  <c r="B3050" i="2"/>
  <c r="B1441" i="2"/>
  <c r="B82" i="2"/>
  <c r="B1548" i="2"/>
  <c r="B418" i="2"/>
  <c r="B1346" i="2"/>
  <c r="B783" i="2"/>
  <c r="B128" i="2"/>
  <c r="B1648" i="2"/>
  <c r="B2794" i="2"/>
  <c r="B1509" i="2"/>
  <c r="B2567" i="2"/>
  <c r="B255" i="2"/>
  <c r="B1871" i="2"/>
  <c r="B2614" i="2"/>
  <c r="B1240" i="2"/>
  <c r="B408" i="2"/>
  <c r="B592" i="2"/>
  <c r="B935" i="2"/>
  <c r="B1103" i="2"/>
  <c r="B404" i="2"/>
  <c r="B1740" i="2"/>
  <c r="B988" i="2"/>
  <c r="B409" i="2"/>
  <c r="B2742" i="2"/>
  <c r="B2900" i="2"/>
  <c r="B422" i="2"/>
  <c r="B3081" i="2"/>
  <c r="B1916" i="2"/>
  <c r="B2492" i="2"/>
  <c r="B2940" i="2"/>
  <c r="B1600" i="2"/>
  <c r="B250" i="2"/>
  <c r="B3185" i="2"/>
  <c r="B1546" i="2"/>
  <c r="B100" i="2"/>
  <c r="B3396" i="2"/>
  <c r="B383" i="2"/>
  <c r="B1610" i="2"/>
  <c r="B65" i="2"/>
  <c r="B3325" i="2"/>
  <c r="B771" i="2"/>
  <c r="B1633" i="2"/>
  <c r="B2850" i="2"/>
  <c r="B989" i="2"/>
  <c r="B324" i="2"/>
  <c r="B1800" i="2"/>
  <c r="B2232" i="2"/>
  <c r="B2301" i="2"/>
  <c r="B2974" i="2"/>
  <c r="B2334" i="2"/>
  <c r="B1511" i="2"/>
  <c r="B1179" i="2"/>
  <c r="B885" i="2"/>
  <c r="B2720" i="2"/>
  <c r="B2753" i="2"/>
  <c r="B1039" i="2"/>
  <c r="B2275" i="2"/>
  <c r="B1928" i="2"/>
  <c r="B1382" i="2"/>
  <c r="B1273" i="2"/>
  <c r="B318" i="2"/>
  <c r="B2205" i="2"/>
  <c r="B3462" i="2"/>
  <c r="B555" i="2"/>
  <c r="B1790" i="2"/>
  <c r="B2754" i="2"/>
  <c r="B2807" i="2"/>
  <c r="B2984" i="2"/>
  <c r="B923" i="2"/>
  <c r="B2648" i="2"/>
  <c r="B1572" i="2"/>
  <c r="B1071" i="2"/>
  <c r="B1583" i="2"/>
  <c r="B2305" i="2"/>
  <c r="B198" i="2"/>
  <c r="B1433" i="2"/>
  <c r="B2385" i="2"/>
  <c r="B704" i="2"/>
  <c r="B1120" i="2"/>
  <c r="B2099" i="2"/>
  <c r="B1588" i="2"/>
  <c r="B3210" i="2"/>
  <c r="B2350" i="2"/>
  <c r="B2431" i="2"/>
  <c r="B1164" i="2"/>
  <c r="B528" i="2"/>
  <c r="B66" i="2"/>
  <c r="B1106" i="2"/>
  <c r="B2965" i="2"/>
  <c r="B22" i="2"/>
  <c r="B3447" i="2"/>
  <c r="B379" i="2"/>
  <c r="B811" i="2"/>
  <c r="B411" i="2"/>
  <c r="B2759" i="2"/>
  <c r="B44" i="2"/>
  <c r="B442" i="2"/>
  <c r="B215" i="2"/>
  <c r="B1168" i="2"/>
  <c r="B1827" i="2"/>
  <c r="B3297" i="2"/>
  <c r="B91" i="2"/>
  <c r="B1114" i="2"/>
  <c r="B3200" i="2"/>
  <c r="B917" i="2"/>
  <c r="B2488" i="2"/>
  <c r="B1130" i="2"/>
  <c r="B2634" i="2"/>
  <c r="B3464" i="2"/>
  <c r="B3043" i="2"/>
  <c r="B1297" i="2"/>
  <c r="B647" i="2"/>
  <c r="B2664" i="2"/>
  <c r="B1744" i="2"/>
  <c r="B131" i="2"/>
  <c r="B2784" i="2"/>
  <c r="B1138" i="2"/>
  <c r="B1453" i="2"/>
  <c r="B140" i="2"/>
  <c r="B1118" i="2"/>
  <c r="B482" i="2"/>
  <c r="B1395" i="2"/>
  <c r="B1739" i="2"/>
  <c r="B3045" i="2"/>
  <c r="B248" i="2"/>
  <c r="B912" i="2"/>
  <c r="B1165" i="2"/>
  <c r="B752" i="2"/>
  <c r="B2655" i="2"/>
  <c r="B2600" i="2"/>
  <c r="B3387" i="2"/>
  <c r="B1038" i="2"/>
  <c r="B1105" i="2"/>
  <c r="B2671" i="2"/>
  <c r="B1892" i="2"/>
  <c r="B172" i="2"/>
  <c r="B2921" i="2"/>
  <c r="B1811" i="2"/>
  <c r="B1691" i="2"/>
  <c r="B304" i="2"/>
  <c r="B1794" i="2"/>
  <c r="B2815" i="2"/>
  <c r="B2838" i="2"/>
  <c r="B3453" i="2"/>
  <c r="B2250" i="2"/>
  <c r="B2603" i="2"/>
  <c r="B1754" i="2"/>
  <c r="B2724" i="2"/>
  <c r="B3434" i="2"/>
  <c r="B3203" i="2"/>
  <c r="B458" i="2"/>
  <c r="B2771" i="2"/>
  <c r="B1808" i="2"/>
  <c r="B1195" i="2"/>
  <c r="B3109" i="2"/>
  <c r="B1911" i="2"/>
  <c r="B2967" i="2"/>
  <c r="B784" i="2"/>
  <c r="B1944" i="2"/>
  <c r="B1534" i="2"/>
  <c r="B2911" i="2"/>
  <c r="B701" i="2"/>
  <c r="B2687" i="2"/>
  <c r="B1628" i="2"/>
  <c r="B1764" i="2"/>
  <c r="B158" i="2"/>
  <c r="B3079" i="2"/>
  <c r="B3216" i="2"/>
  <c r="B2434" i="2"/>
  <c r="B2280" i="2"/>
  <c r="B545" i="2"/>
  <c r="B289" i="2"/>
  <c r="B3451" i="2"/>
  <c r="B2042" i="2"/>
  <c r="B2479" i="2"/>
  <c r="B1677" i="2"/>
  <c r="B2805" i="2"/>
  <c r="B2758" i="2"/>
  <c r="B2711" i="2"/>
  <c r="B1324" i="2"/>
  <c r="B868" i="2"/>
  <c r="B1123" i="2"/>
  <c r="B770" i="2"/>
  <c r="B691" i="2"/>
  <c r="B913" i="2"/>
  <c r="B1317" i="2"/>
  <c r="B329" i="2"/>
  <c r="B2331" i="2"/>
  <c r="B1786" i="2"/>
  <c r="B1817" i="2"/>
  <c r="B934" i="2"/>
  <c r="B2755" i="2"/>
  <c r="B163" i="2"/>
  <c r="B1792" i="2"/>
  <c r="B1601" i="2"/>
  <c r="B3235" i="2"/>
  <c r="B1197" i="2"/>
  <c r="B1576" i="2"/>
  <c r="B169" i="2"/>
  <c r="B2022" i="2"/>
  <c r="B161" i="2"/>
  <c r="B3035" i="2"/>
  <c r="B1953" i="2"/>
  <c r="B48" i="2"/>
  <c r="B406" i="2"/>
  <c r="B2464" i="2"/>
  <c r="B2996" i="2"/>
  <c r="B222" i="2"/>
  <c r="B1302" i="2"/>
  <c r="B1780" i="2"/>
  <c r="B3300" i="2"/>
  <c r="B2987" i="2"/>
  <c r="B774" i="2"/>
  <c r="B1637" i="2"/>
  <c r="B2997" i="2"/>
  <c r="B42" i="2"/>
  <c r="B1746" i="2"/>
  <c r="B414" i="2"/>
  <c r="B1716" i="2"/>
  <c r="B160" i="2"/>
  <c r="B1719" i="2"/>
  <c r="B751" i="2"/>
  <c r="B209" i="2"/>
  <c r="B202" i="2"/>
  <c r="B3006" i="2"/>
  <c r="B3323" i="2"/>
  <c r="B183" i="2"/>
  <c r="B1621" i="2"/>
  <c r="B1665" i="2"/>
  <c r="B1983" i="2"/>
  <c r="B1480" i="2"/>
  <c r="B3238" i="2"/>
  <c r="B522" i="2"/>
  <c r="B1681" i="2"/>
  <c r="B253" i="2"/>
  <c r="B2426" i="2"/>
  <c r="B579" i="2"/>
  <c r="B1327" i="2"/>
  <c r="B2697" i="2"/>
  <c r="B1516" i="2"/>
  <c r="B3002" i="2"/>
  <c r="B1046" i="2"/>
  <c r="B1025" i="2"/>
  <c r="B1769" i="2"/>
  <c r="B1582" i="2"/>
  <c r="B1232" i="2"/>
  <c r="B1196" i="2"/>
  <c r="B1574" i="2"/>
  <c r="B2522" i="2"/>
  <c r="B2387" i="2"/>
  <c r="B1363" i="2"/>
  <c r="B3491" i="2"/>
  <c r="B2615" i="2"/>
  <c r="B3154" i="2"/>
  <c r="B1660" i="2"/>
  <c r="B2576" i="2"/>
  <c r="B1298" i="2"/>
  <c r="B1294" i="2"/>
  <c r="B1544" i="2"/>
  <c r="B1729" i="2"/>
  <c r="B2287" i="2"/>
  <c r="B3283" i="2"/>
  <c r="B1486" i="2"/>
  <c r="B2582" i="2"/>
  <c r="B1670" i="2"/>
  <c r="B1331" i="2"/>
  <c r="B2821" i="2"/>
  <c r="B2327" i="2"/>
  <c r="B2416" i="2"/>
  <c r="B295" i="2"/>
  <c r="B2767" i="2"/>
  <c r="B2848" i="2"/>
  <c r="B2226" i="2"/>
  <c r="B2785" i="2"/>
  <c r="B1236" i="2"/>
  <c r="B3080" i="2"/>
  <c r="B1775" i="2"/>
  <c r="B2489" i="2"/>
  <c r="B1812" i="2"/>
  <c r="B3461" i="2"/>
  <c r="B999" i="2"/>
  <c r="B1416" i="2"/>
  <c r="B1564" i="2"/>
  <c r="B918" i="2"/>
  <c r="B1662" i="2"/>
  <c r="B1657" i="2"/>
  <c r="B1573" i="2"/>
  <c r="B2584" i="2"/>
  <c r="B538" i="2"/>
  <c r="B1721" i="2"/>
  <c r="B181" i="2"/>
  <c r="B1770" i="2"/>
  <c r="B2499" i="2"/>
  <c r="B152" i="2"/>
  <c r="B2892" i="2"/>
  <c r="B876" i="2"/>
  <c r="B2901" i="2"/>
  <c r="B2476" i="2"/>
  <c r="B1484" i="2"/>
  <c r="B2667" i="2"/>
  <c r="B1971" i="2"/>
  <c r="B2257" i="2"/>
  <c r="B1245" i="2"/>
  <c r="B687" i="2"/>
  <c r="B2546" i="2"/>
  <c r="B1751" i="2"/>
  <c r="B949" i="2"/>
  <c r="B2422" i="2"/>
  <c r="B1806" i="2"/>
  <c r="B843" i="2"/>
  <c r="B149" i="2"/>
  <c r="B819" i="2"/>
  <c r="B1432" i="2"/>
  <c r="B1417" i="2"/>
  <c r="B1727" i="2"/>
  <c r="B244" i="2"/>
  <c r="B1200" i="2"/>
  <c r="B1303" i="2"/>
  <c r="B2016" i="2"/>
  <c r="B146" i="2"/>
  <c r="B117" i="2"/>
  <c r="B301" i="2"/>
  <c r="B1388" i="2"/>
  <c r="B2989" i="2"/>
  <c r="B1097" i="2"/>
  <c r="B1956" i="2"/>
  <c r="B3516" i="2"/>
  <c r="B1426" i="2"/>
  <c r="B2847" i="2"/>
  <c r="B2698" i="2"/>
  <c r="B1801" i="2"/>
  <c r="B266" i="2"/>
  <c r="B1984" i="2"/>
  <c r="B3220" i="2"/>
  <c r="B2162" i="2"/>
  <c r="B1530" i="2"/>
  <c r="B2234" i="2"/>
  <c r="B1549" i="2"/>
  <c r="B1487" i="2"/>
  <c r="B92" i="2"/>
  <c r="B1059" i="2"/>
  <c r="B138" i="2"/>
  <c r="B104" i="2"/>
  <c r="B99" i="2"/>
  <c r="B1085" i="2"/>
  <c r="B1542" i="2"/>
  <c r="B2627" i="2"/>
  <c r="B2283" i="2"/>
  <c r="B896" i="2"/>
  <c r="B1619" i="2"/>
  <c r="B1153" i="2"/>
  <c r="B2436" i="2"/>
  <c r="B3483" i="2"/>
  <c r="B2241" i="2"/>
  <c r="B3059" i="2"/>
  <c r="B98" i="2"/>
  <c r="B3441" i="2"/>
  <c r="B2282" i="2"/>
  <c r="B1685" i="2"/>
  <c r="B1818" i="2"/>
  <c r="B2438" i="2"/>
  <c r="B3004" i="2"/>
  <c r="B1881" i="2"/>
  <c r="B3361" i="2"/>
  <c r="B400" i="2"/>
  <c r="B2769" i="2"/>
  <c r="B1636" i="2"/>
  <c r="B2608" i="2"/>
  <c r="B271" i="2"/>
  <c r="B2176" i="2"/>
  <c r="B307" i="2"/>
  <c r="B190" i="2"/>
  <c r="B3070" i="2"/>
  <c r="B1784" i="2"/>
  <c r="B3275" i="2"/>
  <c r="B392" i="2"/>
  <c r="B1359" i="2"/>
  <c r="B2335" i="2"/>
  <c r="B413" i="2"/>
  <c r="B2543" i="2"/>
  <c r="B179" i="2"/>
  <c r="B3260" i="2"/>
  <c r="B2637" i="2"/>
  <c r="B1193" i="2"/>
  <c r="B2374" i="2"/>
  <c r="B2137" i="2"/>
  <c r="B932" i="2"/>
  <c r="B1562" i="2"/>
  <c r="B3456" i="2"/>
  <c r="B991" i="2"/>
  <c r="B827" i="2"/>
  <c r="B2370" i="2"/>
  <c r="B2593" i="2"/>
  <c r="B1492" i="2"/>
  <c r="B2262" i="2"/>
  <c r="B375" i="2"/>
  <c r="B2619" i="2"/>
  <c r="B2373" i="2"/>
  <c r="B1456" i="2"/>
  <c r="B950" i="2"/>
  <c r="B2968" i="2"/>
  <c r="B317" i="2"/>
  <c r="B1699" i="2"/>
  <c r="B778" i="2"/>
  <c r="B941" i="2"/>
  <c r="B1718" i="2"/>
  <c r="B221" i="2"/>
  <c r="B2620" i="2"/>
  <c r="B2768" i="2"/>
  <c r="B378" i="2"/>
  <c r="B1726" i="2"/>
  <c r="B1615" i="2"/>
  <c r="B1365" i="2"/>
  <c r="B1007" i="2"/>
  <c r="B2515" i="2"/>
  <c r="B2203" i="2"/>
  <c r="B1805" i="2"/>
  <c r="B3088" i="2"/>
  <c r="B1763" i="2"/>
  <c r="B1781" i="2"/>
  <c r="B2456" i="2"/>
  <c r="B1785" i="2"/>
  <c r="B337" i="2"/>
  <c r="B984" i="2"/>
  <c r="B3113" i="2"/>
  <c r="B2242" i="2"/>
  <c r="B1283" i="2"/>
  <c r="B824" i="2"/>
  <c r="B2662" i="2"/>
  <c r="B2473" i="2"/>
  <c r="B2356" i="2"/>
  <c r="B2530" i="2"/>
  <c r="B2633" i="2"/>
  <c r="B2277" i="2"/>
  <c r="B2330" i="2"/>
  <c r="B150" i="2"/>
  <c r="B523" i="2"/>
  <c r="B2371" i="2"/>
  <c r="B3104" i="2"/>
  <c r="B2854" i="2"/>
  <c r="B1682" i="2"/>
  <c r="B2721" i="2"/>
  <c r="B2757" i="2"/>
  <c r="B1742" i="2"/>
  <c r="B2604" i="2"/>
  <c r="B59" i="2"/>
  <c r="B1341" i="2"/>
  <c r="B2355" i="2"/>
  <c r="B1814" i="2"/>
  <c r="B1603" i="2"/>
  <c r="B319" i="2"/>
  <c r="B622" i="2"/>
  <c r="B61" i="2"/>
  <c r="B3378" i="2"/>
  <c r="B126" i="2"/>
  <c r="B2643" i="2"/>
  <c r="B2641" i="2"/>
  <c r="B3148" i="2"/>
  <c r="B1960" i="2"/>
  <c r="B415" i="2"/>
  <c r="B2716" i="2"/>
  <c r="B1519" i="2"/>
  <c r="B2993" i="2"/>
  <c r="B1951" i="2"/>
  <c r="B2043" i="2"/>
  <c r="B3211" i="2"/>
  <c r="B1735" i="2"/>
  <c r="B2851" i="2"/>
  <c r="B335" i="2"/>
  <c r="B2517" i="2"/>
  <c r="B2500" i="2"/>
  <c r="B2672" i="2"/>
  <c r="B2673" i="2"/>
  <c r="B673" i="2"/>
  <c r="B1119" i="2"/>
  <c r="B1555" i="2"/>
  <c r="B2270" i="2"/>
  <c r="B2668" i="2"/>
  <c r="B2409" i="2"/>
  <c r="B1683" i="2"/>
  <c r="B636" i="2"/>
  <c r="B2467" i="2"/>
  <c r="B2213" i="2"/>
  <c r="B2396" i="2"/>
  <c r="B2294" i="2"/>
  <c r="B883" i="2"/>
  <c r="B2219" i="2"/>
  <c r="B204" i="2"/>
  <c r="B1590" i="2"/>
  <c r="B2691" i="2"/>
  <c r="B1725" i="2"/>
  <c r="B2830" i="2"/>
  <c r="B398" i="2"/>
  <c r="B2719" i="2"/>
  <c r="B2040" i="2"/>
  <c r="B1113" i="2"/>
  <c r="B2361" i="2"/>
  <c r="B3046" i="2"/>
  <c r="B1766" i="2"/>
  <c r="B474" i="2"/>
  <c r="B1366" i="2"/>
  <c r="B1243" i="2"/>
  <c r="B1172" i="2"/>
  <c r="B1652" i="2"/>
  <c r="B551" i="2"/>
  <c r="B3350" i="2"/>
  <c r="B1897" i="2"/>
  <c r="B1873" i="2"/>
  <c r="B828" i="2"/>
  <c r="B678" i="2"/>
  <c r="B3454" i="2"/>
  <c r="B1073" i="2"/>
  <c r="B1630" i="2"/>
  <c r="B724" i="2"/>
  <c r="B102" i="2"/>
  <c r="B1965" i="2"/>
  <c r="B1547" i="2"/>
  <c r="B206" i="2"/>
  <c r="B3048" i="2"/>
  <c r="B1663" i="2"/>
  <c r="B1045" i="2"/>
  <c r="B1898" i="2"/>
  <c r="B2908" i="2"/>
  <c r="B1370" i="2"/>
  <c r="B1569" i="2"/>
  <c r="B892" i="2"/>
  <c r="B3052" i="2"/>
  <c r="B1367" i="2"/>
  <c r="B1732" i="2"/>
  <c r="B2201" i="2"/>
  <c r="B903" i="2"/>
  <c r="B952" i="2"/>
  <c r="B1730" i="2"/>
  <c r="B2225" i="2"/>
  <c r="B2505" i="2"/>
  <c r="B1522" i="2"/>
  <c r="B3404" i="2"/>
  <c r="B2994" i="2"/>
  <c r="B1451" i="2"/>
  <c r="B1558" i="2"/>
  <c r="B788" i="2"/>
  <c r="B1989" i="2"/>
  <c r="B1275" i="2"/>
  <c r="B1656" i="2"/>
  <c r="B1695" i="2"/>
  <c r="B1585" i="2"/>
  <c r="B199" i="2"/>
  <c r="B1248" i="2"/>
  <c r="B14" i="2"/>
  <c r="B311" i="2"/>
  <c r="B1220" i="2"/>
  <c r="B1768" i="2"/>
  <c r="B302" i="2"/>
  <c r="B1733" i="2"/>
  <c r="B2183" i="2"/>
  <c r="B2545" i="2"/>
  <c r="B2428" i="2"/>
  <c r="B2866" i="2"/>
  <c r="B1999" i="2"/>
  <c r="B802" i="2"/>
  <c r="B2402" i="2"/>
  <c r="B2578" i="2"/>
  <c r="B1839" i="2"/>
  <c r="B21" i="2"/>
  <c r="B1815" i="2"/>
  <c r="B2214" i="2"/>
  <c r="B1437" i="2"/>
  <c r="B1820" i="2"/>
  <c r="B1955" i="2"/>
  <c r="B1272" i="2"/>
  <c r="B1649" i="2"/>
  <c r="B947" i="2"/>
  <c r="B3470" i="2"/>
  <c r="B2217" i="2"/>
  <c r="B106" i="2"/>
  <c r="B1776" i="2"/>
  <c r="B1773" i="2"/>
  <c r="B69" i="2"/>
  <c r="B3044" i="2"/>
  <c r="B67" i="2"/>
  <c r="B2336" i="2"/>
  <c r="B2813" i="2"/>
  <c r="B177" i="2"/>
  <c r="B1057" i="2"/>
  <c r="B1539" i="2"/>
  <c r="B3029" i="2"/>
  <c r="B2727" i="2"/>
  <c r="B2661" i="2"/>
  <c r="B2842" i="2"/>
  <c r="B901" i="2"/>
  <c r="B2832" i="2"/>
  <c r="B110" i="2"/>
  <c r="B1940" i="2"/>
  <c r="B1791" i="2"/>
  <c r="B62" i="2"/>
  <c r="B2844" i="2"/>
  <c r="B2013" i="2"/>
  <c r="B1992" i="2"/>
  <c r="B3481" i="2"/>
  <c r="B2384" i="2"/>
  <c r="B1466" i="2"/>
  <c r="B1529" i="2"/>
  <c r="B563" i="2"/>
  <c r="B273" i="2"/>
  <c r="B1613" i="2"/>
  <c r="B1623" i="2"/>
  <c r="B2484" i="2"/>
  <c r="B3092" i="2"/>
  <c r="B58" i="2"/>
  <c r="B286" i="2"/>
  <c r="B767" i="2"/>
  <c r="B975" i="2"/>
  <c r="B2551" i="2"/>
  <c r="B342" i="2"/>
  <c r="B1760" i="2"/>
  <c r="B3077" i="2"/>
  <c r="B765" i="2"/>
  <c r="B2289" i="2"/>
  <c r="B1450" i="2"/>
  <c r="B1199" i="2"/>
  <c r="B3282" i="2"/>
  <c r="B2490" i="2"/>
  <c r="B861" i="2"/>
  <c r="B3230" i="2"/>
  <c r="B2425" i="2"/>
  <c r="B325" i="2"/>
  <c r="B2859" i="2"/>
  <c r="B1813" i="2"/>
  <c r="B267" i="2"/>
  <c r="B1505" i="2"/>
  <c r="B1675" i="2"/>
  <c r="B3410" i="2"/>
  <c r="B1908" i="2"/>
  <c r="B2369" i="2"/>
  <c r="B963" i="2"/>
  <c r="B1738" i="2"/>
  <c r="B1980" i="2"/>
  <c r="B899" i="2"/>
  <c r="B303" i="2"/>
  <c r="B1913" i="2"/>
  <c r="B272" i="2"/>
  <c r="B2899" i="2"/>
  <c r="B1608" i="2"/>
  <c r="B2729" i="2"/>
  <c r="B2542" i="2"/>
  <c r="B3039" i="2"/>
  <c r="B2602" i="2"/>
  <c r="B176" i="2"/>
  <c r="B12" i="2"/>
  <c r="B2681" i="2"/>
  <c r="B47" i="2"/>
  <c r="B291" i="2"/>
  <c r="B3008" i="2"/>
  <c r="B430" i="2"/>
  <c r="B109" i="2"/>
  <c r="B3060" i="2"/>
  <c r="B2354" i="2"/>
  <c r="B191" i="2"/>
  <c r="B2946" i="2"/>
  <c r="B1268" i="2"/>
  <c r="B866" i="2"/>
  <c r="B2801" i="2"/>
  <c r="B75" i="2"/>
  <c r="B3413" i="2"/>
  <c r="B1915" i="2"/>
  <c r="B1552" i="2"/>
  <c r="B1686" i="2"/>
  <c r="B2261" i="2"/>
  <c r="B931" i="2"/>
  <c r="B270" i="2"/>
  <c r="B274" i="2"/>
  <c r="B1690" i="2"/>
  <c r="B2846" i="2"/>
  <c r="B405" i="2"/>
  <c r="B970" i="2"/>
  <c r="B1205" i="2"/>
  <c r="B699" i="2"/>
  <c r="B2268" i="2"/>
  <c r="B2367" i="2"/>
  <c r="B465" i="2"/>
  <c r="B2601" i="2"/>
  <c r="B1616" i="2"/>
  <c r="B2750" i="2"/>
  <c r="B1475" i="2"/>
  <c r="B2682" i="2"/>
  <c r="B577" i="2"/>
  <c r="B560" i="2"/>
  <c r="B1351" i="2"/>
  <c r="B1503" i="2"/>
  <c r="B1369" i="2"/>
  <c r="B2978" i="2"/>
  <c r="B1772" i="2"/>
  <c r="B121" i="2"/>
  <c r="B3090" i="2"/>
  <c r="B1664" i="2"/>
  <c r="B3061" i="2"/>
  <c r="B52" i="2"/>
  <c r="B1429" i="2"/>
  <c r="B781" i="2"/>
  <c r="B1391" i="2"/>
  <c r="B1807" i="2"/>
  <c r="B1654" i="2"/>
  <c r="B1415" i="2"/>
  <c r="B2307" i="2"/>
  <c r="B424" i="2"/>
  <c r="B1624" i="2"/>
  <c r="B1521" i="2"/>
  <c r="B135" i="2"/>
  <c r="B315" i="2"/>
  <c r="B2739" i="2"/>
  <c r="B818" i="2"/>
  <c r="B2873" i="2"/>
  <c r="B268" i="2"/>
  <c r="B50" i="2"/>
  <c r="B2714" i="2"/>
  <c r="B347" i="2"/>
  <c r="B341" i="2"/>
  <c r="B1296" i="2"/>
  <c r="B2990" i="2"/>
  <c r="B2923" i="2"/>
  <c r="B1694" i="2"/>
  <c r="B2444" i="2"/>
  <c r="B16" i="2"/>
  <c r="B3221" i="2"/>
  <c r="B1831" i="2"/>
  <c r="B3020" i="2"/>
  <c r="B1104" i="2"/>
  <c r="B1313" i="2"/>
  <c r="B108" i="2"/>
  <c r="B3316" i="2"/>
  <c r="B2732" i="2"/>
  <c r="B3049" i="2"/>
  <c r="B96" i="2"/>
  <c r="B2960" i="2"/>
  <c r="B1640" i="2"/>
  <c r="B1036" i="2"/>
  <c r="B208" i="2"/>
  <c r="B2421" i="2"/>
  <c r="B1095" i="2"/>
  <c r="B2478" i="2"/>
  <c r="B2652" i="2"/>
  <c r="B265" i="2"/>
  <c r="B3094" i="2"/>
  <c r="B122" i="2"/>
  <c r="B3067" i="2"/>
  <c r="B1112" i="2"/>
  <c r="B2747" i="2"/>
  <c r="B2349" i="2"/>
  <c r="B2481" i="2"/>
  <c r="B119" i="2"/>
  <c r="B938" i="2"/>
  <c r="B348" i="2"/>
  <c r="B2599" i="2"/>
  <c r="B3303" i="2"/>
  <c r="B1371" i="2"/>
  <c r="B1190" i="2"/>
  <c r="B2400" i="2"/>
  <c r="B2674" i="2"/>
  <c r="B293" i="2"/>
  <c r="B2337" i="2"/>
  <c r="B1397" i="2"/>
  <c r="B280" i="2"/>
  <c r="B3417" i="2"/>
  <c r="B1638" i="2"/>
  <c r="B2666" i="2"/>
  <c r="B2449" i="2"/>
  <c r="B2731" i="2"/>
  <c r="B2027" i="2"/>
  <c r="B125" i="2"/>
  <c r="B2710" i="2"/>
  <c r="B3262" i="2"/>
  <c r="B2845" i="2"/>
  <c r="B1584" i="2"/>
  <c r="B402" i="2"/>
  <c r="B2751" i="2"/>
  <c r="B416" i="2"/>
  <c r="B2071" i="2"/>
  <c r="B1266" i="2"/>
  <c r="B189" i="2"/>
  <c r="B942" i="2"/>
  <c r="B869" i="2"/>
  <c r="B1559" i="2"/>
  <c r="B1728" i="2"/>
  <c r="B1170" i="2"/>
  <c r="B805" i="2"/>
  <c r="B2044" i="2"/>
  <c r="B1837" i="2"/>
  <c r="B282" i="2"/>
  <c r="B3016" i="2"/>
  <c r="B167" i="2"/>
  <c r="B566" i="2"/>
  <c r="B3076" i="2"/>
  <c r="B205" i="2"/>
  <c r="B955" i="2"/>
  <c r="B1680" i="2"/>
  <c r="B1202" i="2"/>
  <c r="B1357" i="2"/>
  <c r="B1343" i="2"/>
  <c r="B1427" i="2"/>
  <c r="B1134" i="2"/>
  <c r="B2459" i="2"/>
  <c r="B3042" i="2"/>
  <c r="B157" i="2"/>
  <c r="B462" i="2"/>
  <c r="B1711" i="2"/>
  <c r="B2827" i="2"/>
  <c r="B1523" i="2"/>
  <c r="B1233" i="2"/>
  <c r="B698" i="2"/>
  <c r="B3449" i="2"/>
  <c r="B25" i="2"/>
  <c r="B2660" i="2"/>
  <c r="B1673" i="2"/>
  <c r="B2786" i="2"/>
  <c r="B1821" i="2"/>
  <c r="B336" i="2"/>
  <c r="B1478" i="2"/>
  <c r="B412" i="2"/>
  <c r="B590" i="2"/>
  <c r="B3499" i="2"/>
  <c r="B2964" i="2"/>
  <c r="B344" i="2"/>
  <c r="B1488" i="2"/>
  <c r="B3457" i="2"/>
  <c r="B664" i="2"/>
  <c r="B722" i="2"/>
  <c r="B968" i="2"/>
  <c r="B2324" i="2"/>
  <c r="B3134" i="2"/>
  <c r="B530" i="2"/>
  <c r="B1064" i="2"/>
  <c r="B3367" i="2"/>
  <c r="B3274" i="2"/>
  <c r="B1004" i="2"/>
  <c r="B3340" i="2"/>
  <c r="B1372" i="2"/>
  <c r="B2823" i="2"/>
  <c r="B887" i="2"/>
  <c r="B2650" i="2"/>
  <c r="B2992" i="2"/>
  <c r="B2814" i="2"/>
  <c r="B173" i="2"/>
  <c r="B184" i="2"/>
  <c r="B2495" i="2"/>
  <c r="B3377" i="2"/>
  <c r="B262" i="2"/>
  <c r="B3010" i="2"/>
  <c r="B1830" i="2"/>
  <c r="B1942" i="2"/>
  <c r="B1867" i="2"/>
  <c r="B1006" i="2"/>
  <c r="B1704" i="2"/>
  <c r="B1352" i="2"/>
  <c r="B3218" i="2"/>
  <c r="B352" i="2"/>
  <c r="B417" i="2"/>
  <c r="B1449" i="2"/>
  <c r="B1242" i="2"/>
  <c r="B3040" i="2"/>
  <c r="B3084" i="2"/>
  <c r="B1091" i="2"/>
  <c r="B147" i="2"/>
  <c r="B194" i="2"/>
  <c r="B2397" i="2"/>
  <c r="B2713" i="2"/>
  <c r="B153" i="2"/>
  <c r="B60" i="2"/>
  <c r="B263" i="2"/>
  <c r="B281" i="2"/>
  <c r="B3007" i="2"/>
  <c r="B2320" i="2"/>
  <c r="B1714" i="2"/>
  <c r="B2669" i="2"/>
  <c r="B799" i="2"/>
  <c r="B1211" i="2"/>
  <c r="B937" i="2"/>
  <c r="B3476" i="2"/>
  <c r="B1284" i="2"/>
  <c r="B1629" i="2"/>
  <c r="B2825" i="2"/>
  <c r="B2782" i="2"/>
  <c r="B283" i="2"/>
  <c r="B1710" i="2"/>
  <c r="B1020" i="2"/>
  <c r="B1749" i="2"/>
  <c r="B1587" i="2"/>
  <c r="B3123" i="2"/>
  <c r="B1276" i="2"/>
  <c r="B1816" i="2"/>
  <c r="B1386" i="2"/>
  <c r="B1496" i="2"/>
  <c r="B1355" i="2"/>
  <c r="B3305" i="2"/>
  <c r="B1745" i="2"/>
  <c r="B914" i="2"/>
  <c r="B3102" i="2"/>
  <c r="B1593" i="2"/>
  <c r="B3093" i="2"/>
  <c r="B956" i="2"/>
  <c r="B1696" i="2"/>
  <c r="B1614" i="2"/>
  <c r="B3296" i="2"/>
  <c r="B3474" i="2"/>
  <c r="B2678" i="2"/>
  <c r="B3014" i="2"/>
  <c r="B2858" i="2"/>
  <c r="B308" i="2"/>
  <c r="B3466" i="2"/>
  <c r="B241" i="2"/>
  <c r="B77" i="2"/>
  <c r="B258" i="2"/>
  <c r="B2302" i="2"/>
  <c r="B1688" i="2"/>
  <c r="B114" i="2"/>
  <c r="B380" i="2"/>
  <c r="B239" i="2"/>
  <c r="B298" i="2"/>
  <c r="B70" i="2"/>
  <c r="B2703" i="2"/>
  <c r="B1684" i="2"/>
  <c r="B3037" i="2"/>
  <c r="B3245" i="2"/>
  <c r="B26" i="2"/>
  <c r="B2558" i="2"/>
  <c r="B1798" i="2"/>
  <c r="B1515" i="2"/>
  <c r="B277" i="2"/>
  <c r="B118" i="2"/>
  <c r="B148" i="2"/>
  <c r="B290" i="2"/>
  <c r="B257" i="2"/>
  <c r="B53" i="2"/>
  <c r="B3227" i="2"/>
  <c r="B2806" i="2"/>
  <c r="B188" i="2"/>
  <c r="B2135" i="2"/>
  <c r="B2985" i="2"/>
  <c r="B385" i="2"/>
  <c r="B3085" i="2"/>
  <c r="B1287" i="2"/>
  <c r="B1494" i="2"/>
  <c r="B1400" i="2"/>
  <c r="B2451" i="2"/>
  <c r="B1443" i="2"/>
  <c r="B259" i="2"/>
  <c r="B1377" i="2"/>
  <c r="B2450" i="2"/>
  <c r="B2849" i="2"/>
  <c r="B2256" i="2"/>
  <c r="B2220" i="2"/>
  <c r="B813" i="2"/>
  <c r="B1541" i="2"/>
  <c r="B2606" i="2"/>
  <c r="B3354" i="2"/>
  <c r="B1672" i="2"/>
  <c r="B384" i="2"/>
  <c r="B2365" i="2"/>
  <c r="B2295" i="2"/>
  <c r="B2001" i="2"/>
  <c r="B2707" i="2"/>
  <c r="B3347" i="2"/>
  <c r="B1338" i="2"/>
  <c r="B2308" i="2"/>
  <c r="B3351" i="2"/>
  <c r="B3018" i="2"/>
  <c r="B596" i="2"/>
  <c r="B370" i="2"/>
  <c r="B1280" i="2"/>
  <c r="B1495" i="2"/>
  <c r="B826" i="2"/>
  <c r="B2193" i="2"/>
  <c r="B2864" i="2"/>
  <c r="B2168" i="2"/>
  <c r="B1589" i="2"/>
  <c r="B2935" i="2"/>
  <c r="B925" i="2"/>
  <c r="B1783" i="2"/>
  <c r="B1966" i="2"/>
  <c r="B2329" i="2"/>
  <c r="B1428" i="2"/>
  <c r="B261" i="2"/>
  <c r="B3142" i="2"/>
  <c r="B1774" i="2"/>
  <c r="B142" i="2"/>
  <c r="B1753" i="2"/>
  <c r="B2580" i="2"/>
  <c r="B2728" i="2"/>
  <c r="B3432" i="2"/>
  <c r="B936" i="2"/>
  <c r="B1903" i="2"/>
  <c r="B51" i="2"/>
  <c r="B1767" i="2"/>
  <c r="B1890" i="2"/>
  <c r="B40" i="2"/>
  <c r="B493" i="2"/>
  <c r="B3313" i="2"/>
  <c r="B1843" i="2"/>
  <c r="B3146" i="2"/>
  <c r="B3258" i="2"/>
  <c r="B368" i="2"/>
  <c r="B3435" i="2"/>
  <c r="B2802" i="2"/>
  <c r="B2980" i="2"/>
  <c r="B2041" i="2"/>
  <c r="B2795" i="2"/>
  <c r="B87" i="2"/>
  <c r="B958" i="2"/>
  <c r="B1225" i="2"/>
  <c r="B254" i="2"/>
  <c r="B1110" i="2"/>
  <c r="B2763" i="2"/>
  <c r="B842" i="2"/>
  <c r="B2628" i="2"/>
  <c r="B926" i="2"/>
  <c r="B3500" i="2"/>
  <c r="B1855" i="2"/>
  <c r="B928" i="2"/>
  <c r="B1325" i="2"/>
  <c r="B227" i="2"/>
  <c r="B1706" i="2"/>
  <c r="B1747" i="2"/>
  <c r="B2790" i="2"/>
  <c r="B193" i="2"/>
  <c r="B2658" i="2"/>
  <c r="B228" i="2"/>
  <c r="B2562" i="2"/>
  <c r="B2995" i="2"/>
  <c r="B2246" i="2"/>
  <c r="B1537" i="2"/>
  <c r="B3330" i="2"/>
  <c r="B1209" i="2"/>
  <c r="B279" i="2"/>
  <c r="B299" i="2"/>
  <c r="B376" i="2"/>
  <c r="B201" i="2"/>
  <c r="B133" i="2"/>
  <c r="B1143" i="2"/>
  <c r="B1333" i="2"/>
  <c r="B2108" i="2"/>
  <c r="B1978" i="2"/>
  <c r="B2903" i="2"/>
  <c r="B650" i="2"/>
  <c r="B1598" i="2"/>
  <c r="B3298" i="2"/>
  <c r="B2020" i="2"/>
  <c r="B2018" i="2"/>
  <c r="B793" i="2"/>
  <c r="B1012" i="2"/>
  <c r="B3192" i="2"/>
  <c r="B3333" i="2"/>
  <c r="B1374" i="2"/>
  <c r="B2152" i="2"/>
  <c r="B2538" i="2"/>
  <c r="B610" i="2"/>
  <c r="B71" i="2"/>
  <c r="B603" i="2"/>
  <c r="B2286" i="2"/>
  <c r="B2290" i="2"/>
  <c r="B898" i="2"/>
  <c r="B1161" i="2"/>
  <c r="B19" i="2"/>
  <c r="B3126" i="2"/>
  <c r="B1069" i="2"/>
  <c r="B627" i="2"/>
  <c r="B2910" i="2"/>
  <c r="B3187" i="2"/>
  <c r="B3215" i="2"/>
  <c r="B3125" i="2"/>
  <c r="B3384" i="2"/>
  <c r="B780" i="2"/>
  <c r="B3248" i="2"/>
  <c r="B242" i="2"/>
  <c r="B3112" i="2"/>
  <c r="B3375" i="2"/>
  <c r="B3250" i="2"/>
  <c r="B1493" i="2"/>
  <c r="B3391" i="2"/>
  <c r="B2705" i="2"/>
  <c r="B1332" i="2"/>
  <c r="B2922" i="2"/>
  <c r="B3171" i="2"/>
  <c r="B2009" i="2"/>
  <c r="B3121" i="2"/>
  <c r="B3124" i="2"/>
  <c r="B902" i="2"/>
  <c r="B583" i="2"/>
  <c r="B2333" i="2"/>
  <c r="B3122" i="2"/>
  <c r="B3302" i="2"/>
  <c r="B130" i="2"/>
  <c r="B3068" i="2"/>
  <c r="B3399" i="2"/>
  <c r="B3423" i="2"/>
  <c r="B3397" i="2"/>
  <c r="B2328" i="2"/>
  <c r="B921" i="2"/>
  <c r="B3366" i="2"/>
  <c r="B2007" i="2"/>
  <c r="B2345" i="2"/>
  <c r="B112" i="2"/>
  <c r="B3421" i="2"/>
  <c r="B1835" i="2"/>
  <c r="B3429" i="2"/>
  <c r="B340" i="2"/>
  <c r="B3110" i="2"/>
  <c r="B1483" i="2"/>
  <c r="B1974" i="2"/>
  <c r="B3446" i="2"/>
  <c r="B890" i="2"/>
  <c r="B2139" i="2"/>
  <c r="B665" i="2"/>
  <c r="B1434" i="2"/>
  <c r="B1991" i="2"/>
  <c r="B2810" i="2"/>
  <c r="B139" i="2"/>
  <c r="B2837" i="2"/>
  <c r="B3295" i="2"/>
  <c r="B2535" i="2"/>
  <c r="B2035" i="2"/>
  <c r="B1070" i="2"/>
  <c r="B2569" i="2"/>
  <c r="B3436" i="2"/>
  <c r="B2766" i="2"/>
  <c r="B2966" i="2"/>
  <c r="B236" i="2"/>
  <c r="B838" i="2"/>
  <c r="B2393" i="2"/>
  <c r="B287" i="2"/>
  <c r="B229" i="2"/>
  <c r="B3424" i="2"/>
  <c r="B1435" i="2"/>
  <c r="B3395" i="2"/>
  <c r="B216" i="2"/>
  <c r="B3289" i="2"/>
  <c r="B1281" i="2"/>
  <c r="B1462" i="2"/>
  <c r="B2417" i="2"/>
  <c r="B1304" i="2"/>
  <c r="B3065" i="2"/>
  <c r="B3205" i="2"/>
  <c r="B251" i="2"/>
  <c r="B2675" i="2"/>
  <c r="B211" i="2"/>
  <c r="B334" i="2"/>
  <c r="B182" i="2"/>
  <c r="B1506" i="2"/>
  <c r="B1847" i="2"/>
  <c r="B3406" i="2"/>
  <c r="B1460" i="2"/>
  <c r="B3401" i="2"/>
  <c r="B1595" i="2"/>
  <c r="B1381" i="2"/>
  <c r="B1476" i="2"/>
  <c r="B11" i="2"/>
  <c r="B2783" i="2"/>
  <c r="B2737" i="2"/>
  <c r="B2386" i="2"/>
  <c r="B1314" i="2"/>
  <c r="B2025" i="2"/>
  <c r="B713" i="2"/>
  <c r="B3346" i="2"/>
  <c r="B3152" i="2"/>
  <c r="B428" i="2"/>
  <c r="B3376" i="2"/>
  <c r="B689" i="2"/>
  <c r="B2882" i="2"/>
  <c r="B809" i="2"/>
  <c r="B2649" i="2"/>
  <c r="B13" i="2"/>
  <c r="B2124" i="2"/>
  <c r="B2510" i="2"/>
  <c r="B2314" i="2"/>
  <c r="B1030" i="2"/>
  <c r="B750" i="2"/>
  <c r="B396" i="2"/>
  <c r="B1092" i="2"/>
  <c r="B2199" i="2"/>
  <c r="B1993" i="2"/>
  <c r="B1192" i="2"/>
  <c r="B381" i="2"/>
  <c r="B2856" i="2"/>
  <c r="B1155" i="2"/>
  <c r="B107" i="2"/>
  <c r="B1166" i="2"/>
  <c r="B3411" i="2"/>
  <c r="B3285" i="2"/>
  <c r="B1502" i="2"/>
  <c r="B3233" i="2"/>
  <c r="B174" i="2"/>
  <c r="B81" i="2"/>
  <c r="B2207" i="2"/>
  <c r="B2066" i="2"/>
  <c r="B1394" i="2"/>
  <c r="B1398" i="2"/>
  <c r="B3053" i="2"/>
  <c r="B3486" i="2"/>
  <c r="B1347" i="2"/>
  <c r="B2559" i="2"/>
  <c r="B536" i="2"/>
  <c r="B2699" i="2"/>
  <c r="B1066" i="2"/>
  <c r="B2191" i="2"/>
  <c r="B2078" i="2"/>
  <c r="B195" i="2"/>
  <c r="B2427" i="2"/>
  <c r="B3326" i="2"/>
  <c r="B73" i="2"/>
  <c r="B2618" i="2"/>
  <c r="B2820" i="2"/>
  <c r="B3382" i="2"/>
  <c r="B1217" i="2"/>
  <c r="B1375" i="2"/>
  <c r="B1015" i="2"/>
  <c r="B1392" i="2"/>
  <c r="B822" i="2"/>
  <c r="B2167" i="2"/>
  <c r="B1109" i="2"/>
  <c r="B1536" i="2"/>
  <c r="B2778" i="2"/>
  <c r="B2391" i="2"/>
  <c r="B1249" i="2"/>
  <c r="B323" i="2"/>
  <c r="B2303" i="2"/>
  <c r="B2420" i="2"/>
  <c r="B2073" i="2"/>
  <c r="B853" i="2"/>
  <c r="B3324" i="2"/>
  <c r="B757" i="2"/>
  <c r="B2686" i="2"/>
  <c r="B825" i="2"/>
  <c r="B2692" i="2"/>
  <c r="B3062" i="2"/>
  <c r="B1554" i="2"/>
  <c r="B1299" i="2"/>
  <c r="B1318" i="2"/>
  <c r="B2981" i="2"/>
  <c r="B1301" i="2"/>
  <c r="B1319" i="2"/>
  <c r="B1079" i="2"/>
  <c r="B1086" i="2"/>
  <c r="B1182" i="2"/>
  <c r="B1627" i="2"/>
  <c r="B965" i="2"/>
  <c r="B2210" i="2"/>
  <c r="B425" i="2"/>
  <c r="B657" i="2"/>
  <c r="B982" i="2"/>
  <c r="B2134" i="2"/>
  <c r="B3306" i="2"/>
  <c r="B2936" i="2"/>
  <c r="B995" i="2"/>
  <c r="B1078" i="2"/>
  <c r="B2182" i="2"/>
  <c r="B2621" i="2"/>
  <c r="B1635" i="2"/>
  <c r="B2390" i="2"/>
  <c r="B2876" i="2"/>
  <c r="B371" i="2"/>
  <c r="B1605" i="2"/>
  <c r="B2748" i="2"/>
  <c r="B1084" i="2"/>
  <c r="B2541" i="2"/>
  <c r="B2163" i="2"/>
  <c r="B1056" i="2"/>
  <c r="B2611" i="2"/>
  <c r="B494" i="2"/>
  <c r="B1291" i="2"/>
  <c r="B1885" i="2"/>
  <c r="B2144" i="2"/>
  <c r="B447" i="2"/>
  <c r="B2860" i="2"/>
  <c r="B2181" i="2"/>
  <c r="B584" i="2"/>
  <c r="B2509" i="2"/>
  <c r="B3156" i="2"/>
  <c r="B3160" i="2"/>
  <c r="B725" i="2"/>
  <c r="B2529" i="2"/>
  <c r="B2109" i="2"/>
  <c r="B2190" i="2"/>
  <c r="B1893" i="2"/>
  <c r="B1958" i="2"/>
  <c r="B1321" i="2"/>
  <c r="B2252" i="2"/>
  <c r="B421" i="2"/>
  <c r="B1019" i="2"/>
  <c r="B1430" i="2"/>
  <c r="B840" i="2"/>
  <c r="B2178" i="2"/>
  <c r="B2526" i="2"/>
  <c r="B2651" i="2"/>
  <c r="B791" i="2"/>
  <c r="B2833" i="2"/>
  <c r="B2447" i="2"/>
  <c r="B690" i="2"/>
  <c r="B2723" i="2"/>
  <c r="B534" i="2"/>
  <c r="B2125" i="2"/>
  <c r="B1844" i="2"/>
  <c r="B2494" i="2"/>
  <c r="B1864" i="2"/>
  <c r="B2695" i="2"/>
  <c r="B682" i="2"/>
  <c r="B2787" i="2"/>
  <c r="B763" i="2"/>
  <c r="B374" i="2"/>
  <c r="B316" i="2"/>
  <c r="B3416" i="2"/>
  <c r="B3439" i="2"/>
  <c r="B2121" i="2"/>
  <c r="B3328" i="2"/>
  <c r="B1440" i="2"/>
  <c r="B3263" i="2"/>
  <c r="B2170" i="2"/>
  <c r="B1981" i="2"/>
  <c r="B1379" i="2"/>
  <c r="B2132" i="2"/>
  <c r="B3430" i="2"/>
  <c r="B386" i="2"/>
  <c r="B2931" i="2"/>
  <c r="B446" i="2"/>
  <c r="B604" i="2"/>
  <c r="B2497" i="2"/>
  <c r="B3433" i="2"/>
  <c r="B1270" i="2"/>
  <c r="B3494" i="2"/>
  <c r="B2010" i="2"/>
  <c r="B2123" i="2"/>
  <c r="B1316" i="2"/>
  <c r="B2180" i="2"/>
  <c r="B532" i="2"/>
  <c r="B848" i="2"/>
  <c r="B593" i="2"/>
  <c r="B1865" i="2"/>
  <c r="B3140" i="2"/>
  <c r="B990" i="2"/>
  <c r="B2869" i="2"/>
  <c r="B1852" i="2"/>
  <c r="B2547" i="2"/>
  <c r="B361" i="2"/>
  <c r="B1228" i="2"/>
  <c r="B2100" i="2"/>
  <c r="B2412" i="2"/>
  <c r="B847" i="2"/>
  <c r="B3242" i="2"/>
  <c r="B3179" i="2"/>
  <c r="B1418" i="2"/>
  <c r="B1874" i="2"/>
  <c r="B3409" i="2"/>
  <c r="B3168" i="2"/>
  <c r="B473" i="2"/>
  <c r="B2097" i="2"/>
  <c r="B2642" i="2"/>
  <c r="B586" i="2"/>
  <c r="B2087" i="2"/>
  <c r="B729" i="2"/>
  <c r="B2607" i="2"/>
  <c r="B2613" i="2"/>
  <c r="B2947" i="2"/>
  <c r="B3503" i="2"/>
  <c r="B2325" i="2"/>
  <c r="B2311" i="2"/>
  <c r="B3336" i="2"/>
  <c r="B1996" i="2"/>
  <c r="B1876" i="2"/>
  <c r="B1857" i="2"/>
  <c r="B1235" i="2"/>
  <c r="B3477" i="2"/>
  <c r="B1218" i="2"/>
  <c r="B3267" i="2"/>
  <c r="B365" i="2"/>
  <c r="B994" i="2"/>
  <c r="B3497" i="2"/>
  <c r="B598" i="2"/>
  <c r="B3469" i="2"/>
  <c r="B643" i="2"/>
  <c r="B2338" i="2"/>
  <c r="B2508" i="2"/>
  <c r="B1028" i="2"/>
  <c r="B580" i="2"/>
  <c r="B1131" i="2"/>
  <c r="B3414" i="2"/>
  <c r="B1090" i="2"/>
  <c r="B505" i="2"/>
  <c r="B27" i="2"/>
  <c r="B533" i="2"/>
  <c r="B2128" i="2"/>
  <c r="B1274" i="2"/>
  <c r="B2088" i="2"/>
  <c r="B3181" i="2"/>
  <c r="B2507" i="2"/>
  <c r="B3071" i="2"/>
  <c r="B1543" i="2"/>
  <c r="B1227" i="2"/>
  <c r="B2640" i="2"/>
  <c r="B1223" i="2"/>
  <c r="B1402" i="2"/>
  <c r="B2663" i="2"/>
  <c r="B79" i="2"/>
  <c r="B3472" i="2"/>
  <c r="B3405" i="2"/>
  <c r="B1477" i="2"/>
  <c r="B3478" i="2"/>
  <c r="B1556" i="2"/>
  <c r="B820" i="2"/>
  <c r="B978" i="2"/>
  <c r="B54" i="2"/>
  <c r="B2617" i="2"/>
  <c r="B2612" i="2"/>
  <c r="B3427" i="2"/>
  <c r="B3117" i="2"/>
  <c r="B2118" i="2"/>
  <c r="B1439" i="2"/>
  <c r="B1115" i="2"/>
  <c r="B2227" i="2"/>
  <c r="B453" i="2"/>
  <c r="B2260" i="2"/>
  <c r="B2644" i="2"/>
  <c r="B1856" i="2"/>
  <c r="B1606" i="2"/>
  <c r="B2079" i="2"/>
  <c r="B1599" i="2"/>
  <c r="B2518" i="2"/>
  <c r="B2872" i="2"/>
  <c r="B3363" i="2"/>
  <c r="B1937" i="2"/>
  <c r="B3362" i="2"/>
  <c r="B2070" i="2"/>
  <c r="B3189" i="2"/>
  <c r="B1089" i="2"/>
  <c r="B1013" i="2"/>
  <c r="B2351" i="2"/>
  <c r="B2877" i="2"/>
  <c r="B276" i="2"/>
  <c r="B2119" i="2"/>
  <c r="B2202" i="2"/>
  <c r="B3157" i="2"/>
  <c r="B2886" i="2"/>
  <c r="B745" i="2"/>
  <c r="B2927" i="2"/>
  <c r="B2130" i="2"/>
  <c r="B3167" i="2"/>
  <c r="B218" i="2"/>
  <c r="B516" i="2"/>
  <c r="B2493" i="2"/>
  <c r="B1158" i="2"/>
  <c r="B2240" i="2"/>
  <c r="B485" i="2"/>
  <c r="B525" i="2"/>
  <c r="B520" i="2"/>
  <c r="B1829" i="2"/>
  <c r="B1326" i="2"/>
  <c r="B238" i="2"/>
  <c r="B2953" i="2"/>
  <c r="B728" i="2"/>
  <c r="B3083" i="2"/>
  <c r="B3073" i="2"/>
  <c r="B390" i="2"/>
  <c r="B509" i="2"/>
  <c r="B2577" i="2"/>
  <c r="B20" i="2"/>
  <c r="B3232" i="2"/>
  <c r="B1132" i="2"/>
  <c r="B1000" i="2"/>
  <c r="B841" i="2"/>
  <c r="B3034" i="2"/>
  <c r="B3392" i="2"/>
  <c r="B1285" i="2"/>
  <c r="B2777" i="2"/>
  <c r="B568" i="2"/>
  <c r="B601" i="2"/>
  <c r="B1003" i="2"/>
  <c r="B858" i="2"/>
  <c r="B2941" i="2"/>
  <c r="B3208" i="2"/>
  <c r="B470" i="2"/>
  <c r="B3075" i="2"/>
  <c r="B2273" i="2"/>
  <c r="B671" i="2"/>
  <c r="B2012" i="2"/>
  <c r="B2418" i="2"/>
  <c r="B3318" i="2"/>
  <c r="B2889" i="2"/>
  <c r="B1500" i="2"/>
  <c r="B2539" i="2"/>
  <c r="B459" i="2"/>
  <c r="B1943" i="2"/>
  <c r="B338" i="2"/>
  <c r="B1027" i="2"/>
  <c r="B1421" i="2"/>
  <c r="B1661" i="2"/>
  <c r="B759" i="2"/>
  <c r="B1896" i="2"/>
  <c r="B363" i="2"/>
  <c r="B1518" i="2"/>
  <c r="B1098" i="2"/>
  <c r="B717" i="2"/>
  <c r="B435" i="2"/>
  <c r="B2525" i="2"/>
  <c r="B761" i="2"/>
  <c r="B1846" i="2"/>
  <c r="B578" i="2"/>
  <c r="B2158" i="2"/>
  <c r="B2221" i="2"/>
  <c r="B3511" i="2"/>
  <c r="B653" i="2"/>
  <c r="B1062" i="2"/>
  <c r="B1924" i="2"/>
  <c r="B2069" i="2"/>
  <c r="B639" i="2"/>
  <c r="B916" i="2"/>
  <c r="B2636" i="2"/>
  <c r="B1328" i="2"/>
  <c r="B3465" i="2"/>
  <c r="B3515" i="2"/>
  <c r="B2315" i="2"/>
  <c r="B881" i="2"/>
  <c r="B628" i="2"/>
  <c r="B556" i="2"/>
  <c r="B2080" i="2"/>
  <c r="B2647" i="2"/>
  <c r="B164" i="2"/>
  <c r="B1674" i="2"/>
  <c r="B349" i="2"/>
  <c r="B588" i="2"/>
  <c r="B2565" i="2"/>
  <c r="B463" i="2"/>
  <c r="B387" i="2"/>
  <c r="B1376" i="2"/>
  <c r="B2929" i="2"/>
  <c r="B448" i="2"/>
  <c r="B630" i="2"/>
  <c r="B1024" i="2"/>
  <c r="B367" i="2"/>
  <c r="B3204" i="2"/>
  <c r="B565" i="2"/>
  <c r="B483" i="2"/>
  <c r="B996" i="2"/>
  <c r="B1931" i="2"/>
  <c r="B2803" i="2"/>
  <c r="B740" i="2"/>
  <c r="B2106" i="2"/>
  <c r="B893" i="2"/>
  <c r="B1620" i="2"/>
  <c r="B2341" i="2"/>
  <c r="B292" i="2"/>
  <c r="B78" i="2"/>
  <c r="B1253" i="2"/>
  <c r="B667" i="2"/>
  <c r="B2906" i="2"/>
  <c r="B573" i="2"/>
  <c r="B1350" i="2"/>
  <c r="B3284" i="2"/>
  <c r="B2829" i="2"/>
  <c r="B2401" i="2"/>
  <c r="B2364" i="2"/>
  <c r="B1244" i="2"/>
  <c r="B1932" i="2"/>
  <c r="B3400" i="2"/>
  <c r="B686" i="2"/>
  <c r="B2039" i="2"/>
  <c r="B2853" i="2"/>
  <c r="B3341" i="2"/>
  <c r="B1527" i="2"/>
  <c r="B2094" i="2"/>
  <c r="B2147" i="2"/>
  <c r="B3393" i="2"/>
  <c r="B681" i="2"/>
  <c r="B2511" i="2"/>
  <c r="B2880" i="2"/>
  <c r="B1565" i="2"/>
  <c r="B468" i="2"/>
  <c r="B1378" i="2"/>
  <c r="B1498" i="2"/>
  <c r="B924" i="2"/>
  <c r="B3089" i="2"/>
  <c r="B2466" i="2"/>
  <c r="B2779" i="2"/>
  <c r="B971" i="2"/>
  <c r="B243" i="2"/>
  <c r="B2060" i="2"/>
  <c r="B2126" i="2"/>
  <c r="B1832" i="2"/>
  <c r="B1033" i="2"/>
  <c r="B1034" i="2"/>
  <c r="B3176" i="2"/>
  <c r="B1926" i="2"/>
  <c r="B3257" i="2"/>
  <c r="B423" i="2"/>
  <c r="B2762" i="2"/>
  <c r="B526" i="2"/>
  <c r="B502" i="2"/>
  <c r="B2531" i="2"/>
  <c r="B2875" i="2"/>
  <c r="B2740" i="2"/>
  <c r="B2791" i="2"/>
  <c r="B567" i="2"/>
  <c r="B496" i="2"/>
  <c r="B3438" i="2"/>
  <c r="B823" i="2"/>
  <c r="B3214" i="2"/>
  <c r="B2709" i="2"/>
  <c r="B1058" i="2"/>
  <c r="B2143" i="2"/>
  <c r="B737" i="2"/>
  <c r="B3458" i="2"/>
  <c r="B1410" i="2"/>
  <c r="B1340" i="2"/>
  <c r="B1438" i="2"/>
  <c r="B353" i="2"/>
  <c r="B3138" i="2"/>
  <c r="B1204" i="2"/>
  <c r="B1891" i="2"/>
  <c r="B1581" i="2"/>
  <c r="B3063" i="2"/>
  <c r="B2482" i="2"/>
  <c r="B3509" i="2"/>
  <c r="B2339" i="2"/>
  <c r="B492" i="2"/>
  <c r="B1550" i="2"/>
  <c r="B1479" i="2"/>
  <c r="B480" i="2"/>
  <c r="B219" i="2"/>
  <c r="B552" i="2"/>
  <c r="B3329" i="2"/>
  <c r="B1961" i="2"/>
  <c r="B697" i="2"/>
  <c r="B2659" i="2"/>
  <c r="B2082" i="2"/>
  <c r="B143" i="2"/>
  <c r="B709" i="2"/>
  <c r="B1647" i="2"/>
  <c r="B637" i="2"/>
  <c r="B2834" i="2"/>
  <c r="B330" i="2"/>
  <c r="B2638" i="2"/>
  <c r="B3327" i="2"/>
  <c r="B2245" i="2"/>
  <c r="B1596" i="2"/>
  <c r="B2598" i="2"/>
  <c r="B659" i="2"/>
  <c r="B755" i="2"/>
  <c r="B895" i="2"/>
  <c r="B3161" i="2"/>
  <c r="B2362" i="2"/>
  <c r="B910" i="2"/>
  <c r="B2780" i="2"/>
  <c r="B3074" i="2"/>
  <c r="B685" i="2"/>
  <c r="B233" i="2"/>
  <c r="B3480" i="2"/>
  <c r="B1181" i="2"/>
  <c r="B795" i="2"/>
  <c r="B2979" i="2"/>
  <c r="B787" i="2"/>
  <c r="B1041" i="2"/>
  <c r="B2571" i="2"/>
  <c r="B1289" i="2"/>
  <c r="B640" i="2"/>
  <c r="B2485" i="2"/>
  <c r="B2274" i="2"/>
  <c r="B1251" i="2"/>
  <c r="B983" i="2"/>
  <c r="B1949" i="2"/>
  <c r="B1859" i="2"/>
  <c r="B1447" i="2"/>
  <c r="B2513" i="2"/>
  <c r="B2775" i="2"/>
  <c r="B2196" i="2"/>
  <c r="B2129" i="2"/>
  <c r="B3107" i="2"/>
  <c r="B3407" i="2"/>
  <c r="B741" i="2"/>
  <c r="B2561" i="2"/>
  <c r="B1262" i="2"/>
  <c r="B2527" i="2"/>
  <c r="B535" i="2"/>
  <c r="B3207" i="2"/>
  <c r="B2177" i="2"/>
  <c r="B684" i="2"/>
  <c r="B2471" i="2"/>
  <c r="B3369" i="2"/>
  <c r="B2480" i="2"/>
  <c r="B1929" i="2"/>
  <c r="B953" i="2"/>
  <c r="B3054" i="2"/>
  <c r="B716" i="2"/>
  <c r="B2340" i="2"/>
  <c r="B544" i="2"/>
  <c r="B1171" i="2"/>
  <c r="B2554" i="2"/>
  <c r="B1461" i="2"/>
  <c r="B2544" i="2"/>
  <c r="B2971" i="2"/>
  <c r="B2657" i="2"/>
  <c r="B1018" i="2"/>
  <c r="B2288" i="2"/>
  <c r="B2169" i="2"/>
  <c r="B2175" i="2"/>
  <c r="B2809" i="2"/>
  <c r="B2773" i="2"/>
  <c r="B2200" i="2"/>
  <c r="B2752" i="2"/>
  <c r="B2093" i="2"/>
  <c r="B2224" i="2"/>
  <c r="B2556" i="2"/>
  <c r="B2148" i="2"/>
  <c r="B350" i="2"/>
  <c r="B2857" i="2"/>
  <c r="B2570" i="2"/>
  <c r="B2708" i="2"/>
  <c r="B2735" i="2"/>
  <c r="B891" i="2"/>
  <c r="B1851" i="2"/>
  <c r="B2160" i="2"/>
  <c r="B3024" i="2"/>
  <c r="B2006" i="2"/>
  <c r="B1858" i="2"/>
  <c r="B1080" i="2"/>
  <c r="B785" i="2"/>
  <c r="B2113" i="2"/>
  <c r="B719" i="2"/>
  <c r="B3051" i="2"/>
  <c r="B3082" i="2"/>
  <c r="B2690" i="2"/>
  <c r="B1239" i="2"/>
  <c r="B591" i="2"/>
  <c r="B1305" i="2"/>
  <c r="B2149" i="2"/>
  <c r="B2776" i="2"/>
  <c r="B3038" i="2"/>
  <c r="B419" i="2"/>
  <c r="B527" i="2"/>
  <c r="B3380" i="2"/>
  <c r="B3019" i="2"/>
  <c r="B1470" i="2"/>
  <c r="B3196" i="2"/>
  <c r="B692" i="2"/>
  <c r="B3357" i="2"/>
  <c r="B2197" i="2"/>
  <c r="B2185" i="2"/>
  <c r="B638" i="2"/>
  <c r="B2976" i="2"/>
  <c r="B2514" i="2"/>
  <c r="B83" i="2"/>
  <c r="B2323" i="2"/>
  <c r="B2937" i="2"/>
  <c r="B2031" i="2"/>
  <c r="B2646" i="2"/>
  <c r="B2840" i="2"/>
  <c r="B1473" i="2"/>
  <c r="B2017" i="2"/>
  <c r="B2726" i="2"/>
  <c r="B2486" i="2"/>
  <c r="B2916" i="2"/>
  <c r="B3130" i="2"/>
  <c r="B1383" i="2"/>
  <c r="B2063" i="2"/>
  <c r="B2045" i="2"/>
  <c r="B2072" i="2"/>
  <c r="B391" i="2"/>
  <c r="B443" i="2"/>
  <c r="B1037" i="2"/>
  <c r="B510" i="2"/>
  <c r="B2504" i="2"/>
  <c r="B521" i="2"/>
  <c r="B1524" i="2"/>
  <c r="B655" i="2"/>
  <c r="B3475" i="2"/>
  <c r="B775" i="2"/>
  <c r="B3310" i="2"/>
  <c r="B654" i="2"/>
  <c r="B3440" i="2"/>
  <c r="B974" i="2"/>
  <c r="B2765" i="2"/>
  <c r="B1468" i="2"/>
  <c r="B3139" i="2"/>
  <c r="B776" i="2"/>
  <c r="B1322" i="2"/>
  <c r="B1408" i="2"/>
  <c r="B3190" i="2"/>
  <c r="B3057" i="2"/>
  <c r="B3224" i="2"/>
  <c r="B432" i="2"/>
  <c r="B626" i="2"/>
  <c r="B395" i="2"/>
  <c r="B646" i="2"/>
  <c r="B1295" i="2"/>
  <c r="B1040" i="2"/>
  <c r="B2770" i="2"/>
  <c r="B3514" i="2"/>
  <c r="B309" i="2"/>
  <c r="B2189" i="2"/>
  <c r="B2437" i="2"/>
  <c r="B1838" i="2"/>
  <c r="B382" i="2"/>
  <c r="B3212" i="2"/>
  <c r="B2310" i="2"/>
  <c r="B1602" i="2"/>
  <c r="B3236" i="2"/>
  <c r="B3003" i="2"/>
  <c r="B2208" i="2"/>
  <c r="B37" i="2"/>
  <c r="B629" i="2"/>
  <c r="B8" i="2"/>
  <c r="B3069" i="2"/>
  <c r="B3504" i="2"/>
  <c r="B742" i="2"/>
  <c r="B2878" i="2"/>
  <c r="B621" i="2"/>
  <c r="B479" i="2"/>
  <c r="B2949" i="2"/>
  <c r="B364" i="2"/>
  <c r="B1001" i="2"/>
  <c r="B1010" i="2"/>
  <c r="B2377" i="2"/>
  <c r="B572" i="2"/>
  <c r="B915" i="2"/>
  <c r="B339" i="2"/>
  <c r="B675" i="2"/>
  <c r="B2689" i="2"/>
  <c r="B495" i="2"/>
  <c r="B1436" i="2"/>
  <c r="B3266" i="2"/>
  <c r="B3314" i="2"/>
  <c r="B213" i="2"/>
  <c r="B3228" i="2"/>
  <c r="B2688" i="2"/>
  <c r="B2973" i="2"/>
  <c r="B3165" i="2"/>
  <c r="B2084" i="2"/>
  <c r="B2879" i="2"/>
  <c r="B3177" i="2"/>
  <c r="B3419" i="2"/>
  <c r="B440" i="2"/>
  <c r="B300" i="2"/>
  <c r="B2958" i="2"/>
  <c r="B2378" i="2"/>
  <c r="B2891" i="2"/>
  <c r="B2939" i="2"/>
  <c r="B772" i="2"/>
  <c r="B3371" i="2"/>
  <c r="B2893" i="2"/>
  <c r="B3229" i="2"/>
  <c r="B346" i="2"/>
  <c r="B606" i="2"/>
  <c r="B2917" i="2"/>
  <c r="B2316" i="2"/>
  <c r="B1032" i="2"/>
  <c r="B2056" i="2"/>
  <c r="B625" i="2"/>
  <c r="B2804" i="2"/>
  <c r="B1216" i="2"/>
  <c r="B1054" i="2"/>
  <c r="B2933" i="2"/>
  <c r="B3193" i="2"/>
  <c r="B702" i="2"/>
  <c r="B3443" i="2"/>
  <c r="B410" i="2"/>
  <c r="B1531" i="2"/>
  <c r="B2366" i="2"/>
  <c r="B2344" i="2"/>
  <c r="B2155" i="2"/>
  <c r="B3485" i="2"/>
  <c r="B712" i="2"/>
  <c r="B3415" i="2"/>
  <c r="B2461" i="2"/>
  <c r="B512" i="2"/>
  <c r="B587" i="2"/>
  <c r="B696" i="2"/>
  <c r="B434" i="2"/>
  <c r="B574" i="2"/>
  <c r="B3164" i="2"/>
  <c r="B2284" i="2"/>
  <c r="B594" i="2"/>
  <c r="B517" i="2"/>
  <c r="B2309" i="2"/>
  <c r="B355" i="2"/>
  <c r="B756" i="2"/>
  <c r="B3103" i="2"/>
  <c r="B694" i="2"/>
  <c r="B2382" i="2"/>
  <c r="B2249" i="2"/>
  <c r="B3355" i="2"/>
  <c r="B3484" i="2"/>
  <c r="B3507" i="2"/>
  <c r="B29" i="2"/>
  <c r="B980" i="2"/>
  <c r="B3319" i="2"/>
  <c r="B3301" i="2"/>
  <c r="B3197" i="2"/>
  <c r="B920" i="2"/>
  <c r="B3194" i="2"/>
  <c r="B3147" i="2"/>
  <c r="B2942" i="2"/>
  <c r="B3321" i="2"/>
  <c r="B2279" i="2"/>
  <c r="B2943" i="2"/>
  <c r="B3159" i="2"/>
  <c r="B2956" i="2"/>
  <c r="B3237" i="2"/>
  <c r="B7" i="2"/>
  <c r="B834" i="2"/>
  <c r="B427" i="2"/>
  <c r="B1399" i="2"/>
  <c r="B2579" i="2"/>
  <c r="B1330" i="2"/>
  <c r="B524" i="2"/>
  <c r="B1226" i="2"/>
  <c r="B2909" i="2"/>
  <c r="B2915" i="2"/>
  <c r="B3335" i="2"/>
  <c r="B3066" i="2"/>
  <c r="B2138" i="2"/>
  <c r="B2863" i="2"/>
  <c r="B2298" i="2"/>
  <c r="B872" i="2"/>
  <c r="B1250" i="2"/>
  <c r="B3206" i="2"/>
  <c r="B2798" i="2"/>
  <c r="B3253" i="2"/>
  <c r="B2011" i="2"/>
  <c r="B2267" i="2"/>
  <c r="B449" i="2"/>
  <c r="B1651" i="2"/>
  <c r="B3143" i="2"/>
  <c r="B200" i="2"/>
  <c r="B2685" i="2"/>
  <c r="B85" i="2"/>
  <c r="B3343" i="2"/>
  <c r="B2363" i="2"/>
  <c r="B369" i="2"/>
  <c r="B3383" i="2"/>
  <c r="B849" i="2"/>
  <c r="B3431" i="2"/>
  <c r="B1567" i="2"/>
  <c r="B777" i="2"/>
  <c r="B1065" i="2"/>
  <c r="B2263" i="2"/>
  <c r="B2104" i="2"/>
  <c r="B2797" i="2"/>
  <c r="B2157" i="2"/>
  <c r="B1042" i="2"/>
  <c r="B498" i="2"/>
  <c r="B2004" i="2"/>
  <c r="B2166" i="2"/>
  <c r="B2635" i="2"/>
  <c r="B2831" i="2"/>
  <c r="B589" i="2"/>
  <c r="B705" i="2"/>
  <c r="B196" i="2"/>
  <c r="B2062" i="2"/>
  <c r="B6" i="2"/>
  <c r="B2156" i="2"/>
  <c r="B768" i="2"/>
  <c r="B3023" i="2"/>
  <c r="B2091" i="2"/>
  <c r="B2733" i="2"/>
  <c r="B668" i="2"/>
  <c r="B3370" i="2"/>
  <c r="B2440" i="2"/>
  <c r="B3308" i="2"/>
  <c r="B356" i="2"/>
  <c r="B2116" i="2"/>
  <c r="B2874" i="2"/>
  <c r="B2051" i="2"/>
  <c r="B2321" i="2"/>
  <c r="B2520" i="2"/>
  <c r="B2519" i="2"/>
  <c r="B1031" i="2"/>
  <c r="B845" i="2"/>
  <c r="B3331" i="2"/>
  <c r="B738" i="2"/>
  <c r="B554" i="2"/>
  <c r="B2131" i="2"/>
  <c r="B1553" i="2"/>
  <c r="B3213" i="2"/>
  <c r="B1246" i="2"/>
  <c r="B3246" i="2"/>
  <c r="B794" i="2"/>
  <c r="B743" i="2"/>
  <c r="B1900" i="2"/>
  <c r="B2442" i="2"/>
  <c r="B354" i="2"/>
  <c r="B651" i="2"/>
  <c r="B1879" i="2"/>
  <c r="B3408" i="2"/>
  <c r="B2300" i="2"/>
  <c r="B1828" i="2"/>
  <c r="B2955" i="2"/>
  <c r="B726" i="2"/>
  <c r="B3047" i="2"/>
  <c r="B3317" i="2"/>
  <c r="B3182" i="2"/>
  <c r="B500" i="2"/>
  <c r="B549" i="2"/>
  <c r="B3290" i="2"/>
  <c r="B2622" i="2"/>
  <c r="B3286" i="2"/>
  <c r="B2841" i="2"/>
  <c r="B884" i="2"/>
  <c r="B614" i="2"/>
  <c r="B1016" i="2"/>
  <c r="B3364" i="2"/>
  <c r="B993" i="2"/>
  <c r="B1188" i="2"/>
  <c r="B518" i="2"/>
  <c r="B2683" i="2"/>
  <c r="B633" i="2"/>
  <c r="B2415" i="2"/>
  <c r="B2086" i="2"/>
  <c r="B1083" i="2"/>
  <c r="B945" i="2"/>
  <c r="B1077" i="2"/>
  <c r="B1887" i="2"/>
  <c r="B3195" i="2"/>
  <c r="B1258" i="2"/>
  <c r="B2470" i="2"/>
  <c r="B3120" i="2"/>
  <c r="B2102" i="2"/>
  <c r="B2253" i="2"/>
  <c r="B561" i="2"/>
  <c r="B2443" i="2"/>
  <c r="B2811" i="2"/>
  <c r="B2532" i="2"/>
  <c r="B800" i="2"/>
  <c r="B641" i="2"/>
  <c r="B1135" i="2"/>
  <c r="B529" i="2"/>
  <c r="B1210" i="2"/>
  <c r="B2725" i="2"/>
  <c r="B1420" i="2"/>
  <c r="B2988" i="2"/>
  <c r="B3272" i="2"/>
  <c r="B2151" i="2"/>
  <c r="B3256" i="2"/>
  <c r="B2235" i="2"/>
  <c r="B486" i="2"/>
  <c r="B2092" i="2"/>
  <c r="B852" i="2"/>
  <c r="B1387" i="2"/>
  <c r="B2049" i="2"/>
  <c r="B511" i="2"/>
  <c r="B642" i="2"/>
  <c r="B2083" i="2"/>
  <c r="B2839" i="2"/>
  <c r="B1458" i="2"/>
  <c r="B3448" i="2"/>
  <c r="B973" i="2"/>
  <c r="B624" i="2"/>
  <c r="B3175" i="2"/>
  <c r="B2117" i="2"/>
  <c r="B1049" i="2"/>
  <c r="B3188" i="2"/>
  <c r="B2564" i="2"/>
  <c r="B439" i="2"/>
  <c r="B2885" i="2"/>
  <c r="B2920" i="2"/>
  <c r="B672" i="2"/>
  <c r="B1146" i="2"/>
  <c r="B2818" i="2"/>
  <c r="B2153" i="2"/>
  <c r="B620" i="2"/>
  <c r="B3078" i="2"/>
  <c r="B2101" i="2"/>
  <c r="B1260" i="2"/>
  <c r="B2067" i="2"/>
  <c r="B1336" i="2"/>
  <c r="B2058" i="2"/>
  <c r="B2154" i="2"/>
  <c r="B2448" i="2"/>
  <c r="B3463" i="2"/>
  <c r="B2238" i="2"/>
  <c r="B2281" i="2"/>
  <c r="B210" i="2"/>
  <c r="B804" i="2"/>
  <c r="B570" i="2"/>
  <c r="B1933" i="2"/>
  <c r="B249" i="2"/>
  <c r="B2816" i="2"/>
  <c r="B504" i="2"/>
  <c r="B3510" i="2"/>
  <c r="B1862" i="2"/>
  <c r="B3352" i="2"/>
  <c r="B2653" i="2"/>
  <c r="B2343" i="2"/>
  <c r="B3294" i="2"/>
  <c r="B2503" i="2"/>
  <c r="B2670" i="2"/>
  <c r="B2059" i="2"/>
  <c r="B946" i="2"/>
  <c r="B882" i="2"/>
  <c r="B3513" i="2"/>
  <c r="B2704" i="2"/>
  <c r="B1904" i="2"/>
  <c r="B224" i="2"/>
  <c r="B2962" i="2"/>
  <c r="B1271" i="2"/>
  <c r="B3170" i="2"/>
  <c r="B57" i="2"/>
  <c r="B870" i="2"/>
  <c r="B178" i="2"/>
  <c r="B2743" i="2"/>
  <c r="B2590" i="2"/>
  <c r="B1404" i="2"/>
  <c r="B2360" i="2"/>
  <c r="B3151" i="2"/>
  <c r="B1329" i="2"/>
  <c r="B929" i="2"/>
  <c r="B438" i="2"/>
  <c r="B559" i="2"/>
  <c r="B33" i="2"/>
  <c r="B1532" i="2"/>
  <c r="B3191" i="2"/>
  <c r="B660" i="2"/>
  <c r="B2179" i="2"/>
  <c r="B2089" i="2"/>
  <c r="B2346" i="2"/>
  <c r="B1491" i="2"/>
  <c r="B2395" i="2"/>
  <c r="B1514" i="2"/>
  <c r="B2024" i="2"/>
  <c r="B2065" i="2"/>
  <c r="B3255" i="2"/>
  <c r="B1464" i="2"/>
  <c r="B2276" i="2"/>
  <c r="B930" i="2"/>
  <c r="B1454" i="2"/>
  <c r="B649" i="2"/>
  <c r="B1068" i="2"/>
  <c r="B1551" i="2"/>
  <c r="B3105" i="2"/>
  <c r="B531" i="2"/>
  <c r="B3174" i="2"/>
  <c r="B3180" i="2"/>
  <c r="B3163" i="2"/>
  <c r="B2085" i="2"/>
  <c r="B3428" i="2"/>
  <c r="B677" i="2"/>
  <c r="B979" i="2"/>
  <c r="B2550" i="2"/>
  <c r="B507" i="2"/>
  <c r="B3058" i="2"/>
  <c r="B2868" i="2"/>
  <c r="B3482" i="2"/>
  <c r="B2248" i="2"/>
  <c r="B31" i="2"/>
  <c r="B837" i="2"/>
  <c r="B466" i="2"/>
  <c r="B900" i="2"/>
  <c r="B747" i="2"/>
  <c r="B1658" i="2"/>
  <c r="B3426" i="2"/>
  <c r="B2112" i="2"/>
  <c r="B2077" i="2"/>
  <c r="B2501" i="2"/>
  <c r="B2233" i="2"/>
  <c r="B2898" i="2"/>
  <c r="B95" i="2"/>
  <c r="B3030" i="2"/>
  <c r="B1414" i="2"/>
  <c r="B2905" i="2"/>
  <c r="B452" i="2"/>
  <c r="B623" i="2"/>
  <c r="B731" i="2"/>
  <c r="B2950" i="2"/>
  <c r="B514" i="2"/>
  <c r="B779" i="2"/>
  <c r="B2312" i="2"/>
  <c r="B2963" i="2"/>
  <c r="B2142" i="2"/>
  <c r="B2026" i="2"/>
  <c r="B2677" i="2"/>
  <c r="B2296" i="2"/>
  <c r="B137" i="2"/>
  <c r="B2236" i="2"/>
  <c r="B2110" i="2"/>
  <c r="B1292" i="2"/>
  <c r="B2247" i="2"/>
  <c r="B1528" i="2"/>
  <c r="B2404" i="2"/>
  <c r="B2730" i="2"/>
  <c r="B3269" i="2"/>
  <c r="B2999" i="2"/>
  <c r="B3339" i="2"/>
  <c r="B2512" i="2"/>
  <c r="B703" i="2"/>
  <c r="B744" i="2"/>
  <c r="B2174" i="2"/>
  <c r="B1868" i="2"/>
  <c r="B851" i="2"/>
  <c r="B789" i="2"/>
  <c r="B2074" i="2"/>
  <c r="B1533" i="2"/>
  <c r="B3288" i="2"/>
  <c r="B372" i="2"/>
  <c r="B1043" i="2"/>
  <c r="B786" i="2"/>
  <c r="B508" i="2"/>
  <c r="B2171" i="2"/>
  <c r="B3128" i="2"/>
  <c r="B862" i="2"/>
  <c r="B2172" i="2"/>
  <c r="B860" i="2"/>
  <c r="B454" i="2"/>
  <c r="B2852" i="2"/>
  <c r="B403" i="2"/>
  <c r="B3244" i="2"/>
  <c r="B734" i="2"/>
  <c r="B2888" i="2"/>
  <c r="B3360" i="2"/>
  <c r="B2392" i="2"/>
  <c r="B2568" i="2"/>
  <c r="B1238" i="2"/>
  <c r="B3021" i="2"/>
  <c r="B680" i="2"/>
  <c r="B1312" i="2"/>
  <c r="B1279" i="2"/>
  <c r="B2206" i="2"/>
  <c r="B3209" i="2"/>
  <c r="B1957" i="2"/>
  <c r="B322" i="2"/>
  <c r="B886" i="2"/>
  <c r="B1442" i="2"/>
  <c r="B1151" i="2"/>
  <c r="B3444" i="2"/>
  <c r="B1093" i="2"/>
  <c r="B540" i="2"/>
  <c r="B616" i="2"/>
  <c r="B2594" i="2"/>
  <c r="B617" i="2"/>
  <c r="B1148" i="2"/>
  <c r="B3311" i="2"/>
  <c r="B2455" i="2"/>
  <c r="B2524" i="2"/>
  <c r="B1570" i="2"/>
  <c r="B736" i="2"/>
  <c r="B1401" i="2"/>
  <c r="B3226" i="2"/>
  <c r="B2064" i="2"/>
  <c r="B3312" i="2"/>
  <c r="B1214" i="2"/>
  <c r="B3096" i="2"/>
  <c r="B2487" i="2"/>
  <c r="B676" i="2"/>
  <c r="B185" i="2"/>
  <c r="B562" i="2"/>
  <c r="B553" i="2"/>
  <c r="B2141" i="2"/>
  <c r="B1482" i="2"/>
  <c r="B2528" i="2"/>
  <c r="B753" i="2"/>
  <c r="B867" i="2"/>
  <c r="B1423" i="2"/>
  <c r="B3315" i="2"/>
  <c r="B1128" i="2"/>
  <c r="B1308" i="2"/>
  <c r="B34" i="2"/>
  <c r="B2136" i="2"/>
  <c r="B2454" i="2"/>
  <c r="B1005" i="2"/>
  <c r="B3013" i="2"/>
  <c r="B575" i="2"/>
  <c r="B2774" i="2"/>
  <c r="B3276" i="2"/>
  <c r="B3304" i="2"/>
  <c r="B644" i="2"/>
  <c r="B1342" i="2"/>
  <c r="B2835" i="2"/>
  <c r="B3512" i="2"/>
  <c r="B2533" i="2"/>
  <c r="B3086" i="2"/>
  <c r="B850" i="2"/>
  <c r="B3460" i="2"/>
  <c r="B1023" i="2"/>
  <c r="B2368" i="2"/>
  <c r="B977" i="2"/>
  <c r="B501" i="2"/>
  <c r="B197" i="2"/>
  <c r="B688" i="2"/>
  <c r="B1300" i="2"/>
  <c r="B2048" i="2"/>
  <c r="B1348" i="2"/>
  <c r="B2038" i="2"/>
  <c r="B1052" i="2"/>
  <c r="B1457" i="2"/>
  <c r="B1360" i="2"/>
  <c r="B2105" i="2"/>
  <c r="B661" i="2"/>
  <c r="B558" i="2"/>
  <c r="B2122" i="2"/>
  <c r="B506" i="2"/>
  <c r="B3398" i="2"/>
  <c r="B2822" i="2"/>
  <c r="B2828" i="2"/>
  <c r="B2103" i="2"/>
  <c r="B2150" i="2"/>
  <c r="B2161" i="2"/>
  <c r="B2712" i="2"/>
  <c r="B760" i="2"/>
  <c r="B2452" i="2"/>
  <c r="B497" i="2"/>
  <c r="B256" i="2"/>
  <c r="B1154" i="2"/>
  <c r="B3249" i="2"/>
  <c r="B3199" i="2"/>
  <c r="B2145" i="2"/>
  <c r="B2883" i="2"/>
  <c r="B1215" i="2"/>
  <c r="B2897" i="2"/>
  <c r="B569" i="2"/>
  <c r="B359" i="2"/>
  <c r="B976" i="2"/>
  <c r="B1074" i="2"/>
  <c r="B2278" i="2"/>
  <c r="B2694" i="2"/>
  <c r="B2458" i="2"/>
  <c r="B2353" i="2"/>
  <c r="B2764" i="2"/>
  <c r="B2057" i="2"/>
  <c r="B2855" i="2"/>
  <c r="B3348" i="2"/>
  <c r="B2977" i="2"/>
  <c r="B1008" i="2"/>
  <c r="B3381" i="2"/>
  <c r="B1994" i="2"/>
  <c r="B674" i="2"/>
  <c r="B954" i="2"/>
  <c r="B296" i="2"/>
  <c r="B855" i="2"/>
  <c r="B3425" i="2"/>
  <c r="B832" i="2"/>
  <c r="B3468" i="2"/>
  <c r="B1221" i="2"/>
  <c r="B1117" i="2"/>
  <c r="B2887" i="2"/>
  <c r="B648" i="2"/>
  <c r="B543" i="2"/>
  <c r="B1224" i="2"/>
  <c r="B2292" i="2"/>
  <c r="B32" i="2"/>
  <c r="B3488" i="2"/>
  <c r="B2871" i="2"/>
  <c r="B3506" i="2"/>
  <c r="B3279" i="2"/>
  <c r="B460" i="2"/>
  <c r="B321" i="2"/>
  <c r="B1075" i="2"/>
  <c r="B2951" i="2"/>
  <c r="B2918" i="2"/>
  <c r="B2983" i="2"/>
  <c r="B2496" i="2"/>
  <c r="B792" i="2"/>
  <c r="B1051" i="2"/>
  <c r="B2046" i="2"/>
  <c r="B18" i="2"/>
  <c r="B1861" i="2"/>
  <c r="B3389" i="2"/>
  <c r="B3101" i="2"/>
  <c r="B2114" i="2"/>
  <c r="B708" i="2"/>
  <c r="B84" i="2"/>
  <c r="B2212" i="2"/>
  <c r="B3508" i="2"/>
  <c r="B2555" i="2"/>
  <c r="B362" i="2"/>
  <c r="B1337" i="2"/>
  <c r="B366" i="2"/>
  <c r="B607" i="2"/>
  <c r="B595" i="2"/>
  <c r="B2254" i="2"/>
  <c r="B1088" i="2"/>
  <c r="B2033" i="2"/>
  <c r="B484" i="2"/>
  <c r="B2870" i="2"/>
  <c r="B93" i="2"/>
  <c r="B1354" i="2"/>
  <c r="B2164" i="2"/>
  <c r="B1396" i="2"/>
  <c r="B3501" i="2"/>
  <c r="B3261" i="2"/>
  <c r="B2919" i="2"/>
  <c r="B2693" i="2"/>
  <c r="B981" i="2"/>
  <c r="B700" i="2"/>
  <c r="B3445" i="2"/>
  <c r="B986" i="2"/>
  <c r="B3322" i="2"/>
  <c r="B2050" i="2"/>
  <c r="B2799" i="2"/>
  <c r="B393" i="2"/>
  <c r="B1230" i="2"/>
  <c r="B3320" i="2"/>
  <c r="B864" i="2"/>
  <c r="B1334" i="2"/>
  <c r="B1344" i="2"/>
  <c r="B2932" i="2"/>
  <c r="B3064" i="2"/>
  <c r="B1213" i="2"/>
  <c r="B39" i="2"/>
  <c r="B2890" i="2"/>
  <c r="B796" i="2"/>
  <c r="B557" i="2"/>
  <c r="B706" i="2"/>
  <c r="B2184" i="2"/>
  <c r="B3000" i="2"/>
  <c r="B539" i="2"/>
  <c r="B3198" i="2"/>
  <c r="B739" i="2"/>
  <c r="B2408" i="2"/>
  <c r="B2120" i="2"/>
  <c r="B987" i="2"/>
  <c r="B1469" i="2"/>
  <c r="B464" i="2"/>
  <c r="B487" i="2"/>
  <c r="B3492" i="2"/>
  <c r="B3011" i="2"/>
  <c r="B1133" i="2"/>
  <c r="B1489" i="2"/>
  <c r="B2959" i="2"/>
  <c r="B3099" i="2"/>
  <c r="B2223" i="2"/>
  <c r="B1169" i="2"/>
  <c r="B2586" i="2"/>
  <c r="B445" i="2"/>
  <c r="B2465" i="2"/>
  <c r="B707" i="2"/>
  <c r="B3131" i="2"/>
  <c r="B515" i="2"/>
  <c r="B1349" i="2"/>
  <c r="B2230" i="2"/>
  <c r="B3031" i="2"/>
  <c r="B663" i="2"/>
  <c r="B2907" i="2"/>
  <c r="B1639" i="2"/>
  <c r="B420" i="2"/>
  <c r="B1393" i="2"/>
  <c r="B2453" i="2"/>
  <c r="B513" i="2"/>
  <c r="B2430" i="2"/>
  <c r="B1854" i="2"/>
  <c r="B499" i="2"/>
  <c r="B2140" i="2"/>
  <c r="B2127" i="2"/>
  <c r="B2665" i="2"/>
  <c r="B2204" i="2"/>
  <c r="B571" i="2"/>
  <c r="B3097" i="2"/>
  <c r="B450" i="2"/>
  <c r="B294" i="2"/>
  <c r="B2587" i="2"/>
  <c r="B1463" i="2"/>
  <c r="B3359" i="2"/>
  <c r="B3041" i="2"/>
  <c r="B658" i="2"/>
  <c r="B933" i="2"/>
  <c r="B1072" i="2"/>
  <c r="B3114" i="2"/>
  <c r="B472" i="2"/>
  <c r="B944" i="2"/>
  <c r="B992" i="2"/>
  <c r="B1107" i="2"/>
  <c r="B1452" i="2"/>
  <c r="B2624" i="2"/>
  <c r="B1055" i="2"/>
  <c r="B662" i="2"/>
  <c r="B2560" i="2"/>
  <c r="B865" i="2"/>
  <c r="B3153" i="2"/>
  <c r="B3467" i="2"/>
  <c r="B2423" i="2"/>
  <c r="B2165" i="2"/>
  <c r="B2722" i="2"/>
  <c r="B3264" i="2"/>
  <c r="B2925" i="2"/>
  <c r="B2676" i="2"/>
  <c r="B1002" i="2"/>
  <c r="B488" i="2"/>
  <c r="B3368" i="2"/>
  <c r="B3115" i="2"/>
  <c r="B537" i="2"/>
  <c r="B3111" i="2"/>
  <c r="B2574" i="2"/>
  <c r="B3149" i="2"/>
  <c r="B585" i="2"/>
  <c r="B2028" i="2"/>
  <c r="B3379" i="2"/>
  <c r="B1612" i="2"/>
  <c r="B3100" i="2"/>
  <c r="B431" i="2"/>
  <c r="B546" i="2"/>
  <c r="B3312" i="3"/>
  <c r="B669" i="3"/>
  <c r="B2468" i="3"/>
  <c r="B2771" i="3"/>
  <c r="B3576" i="3"/>
  <c r="B402" i="3"/>
  <c r="B1904" i="3"/>
  <c r="B5106" i="3"/>
  <c r="B8" i="3"/>
  <c r="B1623" i="3"/>
  <c r="B583" i="3"/>
  <c r="B4127" i="3"/>
  <c r="B3790" i="3"/>
  <c r="B1852" i="3"/>
  <c r="B62" i="3"/>
  <c r="B455" i="3"/>
  <c r="B92" i="3"/>
  <c r="B280" i="3"/>
  <c r="B364" i="3"/>
  <c r="B2633" i="3"/>
  <c r="B1165" i="3"/>
  <c r="B4129" i="3"/>
  <c r="B482" i="3"/>
  <c r="B192" i="3"/>
  <c r="B3090" i="3"/>
  <c r="B3215" i="3"/>
  <c r="B2135" i="3"/>
  <c r="B691" i="3"/>
  <c r="B1947" i="3"/>
  <c r="B3469" i="3"/>
  <c r="B1905" i="3"/>
  <c r="B491" i="3"/>
  <c r="B1303" i="3"/>
  <c r="B2903" i="3"/>
  <c r="B4077" i="3"/>
  <c r="B2694" i="3"/>
  <c r="B4308" i="3"/>
  <c r="B789" i="3"/>
  <c r="B729" i="3"/>
  <c r="B2446" i="3"/>
  <c r="B3214" i="3"/>
  <c r="B3709" i="3"/>
  <c r="B310" i="3"/>
  <c r="B4179" i="3"/>
  <c r="B4098" i="3"/>
  <c r="B2956" i="3"/>
  <c r="B3781" i="3"/>
  <c r="B1946" i="3"/>
  <c r="B5178" i="3"/>
  <c r="B2834" i="3"/>
  <c r="B3739" i="3"/>
  <c r="B3287" i="3"/>
  <c r="B3384" i="3"/>
  <c r="B1326" i="3"/>
  <c r="B3373" i="3"/>
  <c r="B3719" i="3"/>
  <c r="B425" i="3"/>
  <c r="B1887" i="3"/>
  <c r="B1835" i="3"/>
  <c r="B3704" i="3"/>
  <c r="B181" i="3"/>
  <c r="B1577" i="3"/>
  <c r="B2444" i="3"/>
  <c r="B197" i="3"/>
  <c r="B1588" i="3"/>
  <c r="B140" i="3"/>
  <c r="B91" i="3"/>
  <c r="B452" i="3"/>
  <c r="B389" i="3"/>
  <c r="B3949" i="3"/>
  <c r="B702" i="3"/>
  <c r="B806" i="3"/>
  <c r="B3054" i="3"/>
  <c r="B3782" i="3"/>
  <c r="B398" i="3"/>
  <c r="B507" i="3"/>
  <c r="B350" i="3"/>
  <c r="B135" i="3"/>
  <c r="B3663" i="3"/>
  <c r="B2766" i="3"/>
  <c r="B4280" i="3"/>
  <c r="B5117" i="3"/>
  <c r="B804" i="3"/>
  <c r="B720" i="3"/>
  <c r="B4599" i="3"/>
  <c r="B27" i="3"/>
  <c r="B3535" i="3"/>
  <c r="B5005" i="3"/>
  <c r="B4030" i="3"/>
  <c r="B673" i="3"/>
  <c r="B504" i="3"/>
  <c r="B84" i="3"/>
  <c r="B4765" i="3"/>
  <c r="B270" i="3"/>
  <c r="B247" i="3"/>
  <c r="B3714" i="3"/>
  <c r="B742" i="3"/>
  <c r="B3551" i="3"/>
  <c r="B3920" i="3"/>
  <c r="B3760" i="3"/>
  <c r="B5191" i="3"/>
  <c r="B4723" i="3"/>
  <c r="B4554" i="3"/>
  <c r="B170" i="3"/>
  <c r="B383" i="3"/>
  <c r="B5212" i="3"/>
  <c r="B86" i="3"/>
  <c r="B3567" i="3"/>
  <c r="B615" i="3"/>
  <c r="B4974" i="3"/>
  <c r="B5304" i="3"/>
  <c r="B5206" i="3"/>
  <c r="B2967" i="3"/>
  <c r="B4337" i="3"/>
  <c r="B791" i="3"/>
  <c r="B152" i="3"/>
  <c r="B3520" i="3"/>
  <c r="B3725" i="3"/>
  <c r="B2404" i="3"/>
  <c r="B2513" i="3"/>
  <c r="B4879" i="3"/>
  <c r="B1760" i="3"/>
  <c r="B3774" i="3"/>
  <c r="B672" i="3"/>
  <c r="B2152" i="3"/>
  <c r="B4969" i="3"/>
  <c r="B5010" i="3"/>
  <c r="B370" i="3"/>
  <c r="B1668" i="3"/>
  <c r="B1909" i="3"/>
  <c r="B1862" i="3"/>
  <c r="B4747" i="3"/>
  <c r="B1045" i="3"/>
  <c r="B769" i="3"/>
  <c r="B2567" i="3"/>
  <c r="B3829" i="3"/>
  <c r="B1774" i="3"/>
  <c r="B4681" i="3"/>
  <c r="B4716" i="3"/>
  <c r="B1555" i="3"/>
  <c r="B1058" i="3"/>
  <c r="B1030" i="3"/>
  <c r="B1239" i="3"/>
  <c r="B857" i="3"/>
  <c r="B5208" i="3"/>
  <c r="B802" i="3"/>
  <c r="B4272" i="3"/>
  <c r="B260" i="3"/>
  <c r="B816" i="3"/>
  <c r="B112" i="3"/>
  <c r="B2153" i="3"/>
  <c r="B846" i="3"/>
  <c r="B1755" i="3"/>
  <c r="B2043" i="3"/>
  <c r="B4312" i="3"/>
  <c r="B587" i="3"/>
  <c r="B4013" i="3"/>
  <c r="B4397" i="3"/>
  <c r="B841" i="3"/>
  <c r="B4930" i="3"/>
  <c r="B4449" i="3"/>
  <c r="B1756" i="3"/>
  <c r="B1725" i="3"/>
  <c r="B5181" i="3"/>
  <c r="B4813" i="3"/>
  <c r="B4648" i="3"/>
  <c r="B431" i="3"/>
  <c r="B1893" i="3"/>
  <c r="B4502" i="3"/>
  <c r="B4135" i="3"/>
  <c r="B3832" i="3"/>
  <c r="B5115" i="3"/>
  <c r="B4338" i="3"/>
  <c r="B456" i="3"/>
  <c r="B3752" i="3"/>
  <c r="B3130" i="3"/>
  <c r="B1656" i="3"/>
  <c r="B1948" i="3"/>
  <c r="B3169" i="3"/>
  <c r="B3290" i="3"/>
  <c r="B4091" i="3"/>
  <c r="B5088" i="3"/>
  <c r="B4503" i="3"/>
  <c r="B1589" i="3"/>
  <c r="B3232" i="3"/>
  <c r="B747" i="3"/>
  <c r="B1785" i="3"/>
  <c r="B1812" i="3"/>
  <c r="B4852" i="3"/>
  <c r="B4525" i="3"/>
  <c r="B4947" i="3"/>
  <c r="B4152" i="3"/>
  <c r="B616" i="3"/>
  <c r="B2450" i="3"/>
  <c r="B4575" i="3"/>
  <c r="B1703" i="3"/>
  <c r="B3578" i="3"/>
  <c r="B1680" i="3"/>
  <c r="B174" i="3"/>
  <c r="B4831" i="3"/>
  <c r="B4186" i="3"/>
  <c r="B2644" i="3"/>
  <c r="B5215" i="3"/>
  <c r="B1708" i="3"/>
  <c r="B1702" i="3"/>
  <c r="B4465" i="3"/>
  <c r="B2897" i="3"/>
  <c r="B5180" i="3"/>
  <c r="B4446" i="3"/>
  <c r="B951" i="3"/>
  <c r="B5038" i="3"/>
  <c r="B2907" i="3"/>
  <c r="B4271" i="3"/>
  <c r="B4404" i="3"/>
  <c r="B4872" i="3"/>
  <c r="B3361" i="3"/>
  <c r="B4123" i="3"/>
  <c r="B4991" i="3"/>
  <c r="B498" i="3"/>
  <c r="B4688" i="3"/>
  <c r="B4547" i="3"/>
  <c r="B4694" i="3"/>
  <c r="B4305" i="3"/>
  <c r="B4915" i="3"/>
  <c r="B3838" i="3"/>
  <c r="B1578" i="3"/>
  <c r="B4586" i="3"/>
  <c r="B320" i="3"/>
  <c r="B4817" i="3"/>
  <c r="B5093" i="3"/>
  <c r="B4690" i="3"/>
  <c r="B4063" i="3"/>
  <c r="B4276" i="3"/>
  <c r="B5255" i="3"/>
  <c r="B4199" i="3"/>
  <c r="B4505" i="3"/>
  <c r="B3264" i="3"/>
  <c r="B4062" i="3"/>
  <c r="B4108" i="3"/>
  <c r="B4901" i="3"/>
  <c r="B4660" i="3"/>
  <c r="B2654" i="3"/>
  <c r="B4556" i="3"/>
  <c r="B674" i="3"/>
  <c r="B4201" i="3"/>
  <c r="B4048" i="3"/>
  <c r="B4490" i="3"/>
  <c r="B1452" i="3"/>
  <c r="B4357" i="3"/>
  <c r="B4035" i="3"/>
  <c r="B3705" i="3"/>
  <c r="B5125" i="3"/>
  <c r="B736" i="3"/>
  <c r="B3750" i="3"/>
  <c r="B2637" i="3"/>
  <c r="B2928" i="3"/>
  <c r="B2640" i="3"/>
  <c r="B3177" i="3"/>
  <c r="B3477" i="3"/>
  <c r="B1878" i="3"/>
  <c r="B4839" i="3"/>
  <c r="B3746" i="3"/>
  <c r="B5133" i="3"/>
  <c r="B4158" i="3"/>
  <c r="B3720" i="3"/>
  <c r="B3259" i="3"/>
  <c r="B4564" i="3"/>
  <c r="B4840" i="3"/>
  <c r="B3209" i="3"/>
  <c r="B2727" i="3"/>
  <c r="B4673" i="3"/>
  <c r="B172" i="3"/>
  <c r="B1833" i="3"/>
  <c r="B4314" i="3"/>
  <c r="B1173" i="3"/>
  <c r="B4439" i="3"/>
  <c r="B3823" i="3"/>
  <c r="B1267" i="3"/>
  <c r="B3985" i="3"/>
  <c r="B2725" i="3"/>
  <c r="B2726" i="3"/>
  <c r="B2937" i="3"/>
  <c r="B2662" i="3"/>
  <c r="B303" i="3"/>
  <c r="B413" i="3"/>
  <c r="B987" i="3"/>
  <c r="B3077" i="3"/>
  <c r="B110" i="3"/>
  <c r="B4592" i="3"/>
  <c r="B3318" i="3"/>
  <c r="B2380" i="3"/>
  <c r="B2659" i="3"/>
  <c r="B3197" i="3"/>
  <c r="B2002" i="3"/>
  <c r="B1121" i="3"/>
  <c r="B3987" i="3"/>
  <c r="B4998" i="3"/>
  <c r="B3162" i="3"/>
  <c r="B1609" i="3"/>
  <c r="B2356" i="3"/>
  <c r="B3592" i="3"/>
  <c r="B4340" i="3"/>
  <c r="B3317" i="3"/>
  <c r="B5185" i="3"/>
  <c r="B4166" i="3"/>
  <c r="B4291" i="3"/>
  <c r="B4223" i="3"/>
  <c r="B3336" i="3"/>
  <c r="B2227" i="3"/>
  <c r="B4202" i="3"/>
  <c r="B4990" i="3"/>
  <c r="B169" i="3"/>
  <c r="B4939" i="3"/>
  <c r="B4486" i="3"/>
  <c r="B571" i="3"/>
  <c r="B2006" i="3"/>
  <c r="B2878" i="3"/>
  <c r="B3151" i="3"/>
  <c r="B2692" i="3"/>
  <c r="B2931" i="3"/>
  <c r="B1918" i="3"/>
  <c r="B796" i="3"/>
  <c r="B4451" i="3"/>
  <c r="B1004" i="3"/>
  <c r="B4770" i="3"/>
  <c r="B4047" i="3"/>
  <c r="B4876" i="3"/>
  <c r="B4785" i="3"/>
  <c r="B228" i="3"/>
  <c r="B4336" i="3"/>
  <c r="B4147" i="3"/>
  <c r="B3721" i="3"/>
  <c r="B4161" i="3"/>
  <c r="B1768" i="3"/>
  <c r="B5238" i="3"/>
  <c r="B5175" i="3"/>
  <c r="B3652" i="3"/>
  <c r="B478" i="3"/>
  <c r="B173" i="3"/>
  <c r="B2776" i="3"/>
  <c r="B4829" i="3"/>
  <c r="B4779" i="3"/>
  <c r="B3517" i="3"/>
  <c r="B5002" i="3"/>
  <c r="B133" i="3"/>
  <c r="B2800" i="3"/>
  <c r="B3867" i="3"/>
  <c r="B4719" i="3"/>
  <c r="B4615" i="3"/>
  <c r="B1750" i="3"/>
  <c r="B4917" i="3"/>
  <c r="B2463" i="3"/>
  <c r="B5246" i="3"/>
  <c r="B4328" i="3"/>
  <c r="B4607" i="3"/>
  <c r="B1272" i="3"/>
  <c r="B3964" i="3"/>
  <c r="B4146" i="3"/>
  <c r="B1797" i="3"/>
  <c r="B3905" i="3"/>
  <c r="B1077" i="3"/>
  <c r="B2315" i="3"/>
  <c r="B5159" i="3"/>
  <c r="B2852" i="3"/>
  <c r="B1724" i="3"/>
  <c r="B1935" i="3"/>
  <c r="B4316" i="3"/>
  <c r="B1108" i="3"/>
  <c r="B4415" i="3"/>
  <c r="B3444" i="3"/>
  <c r="B2565" i="3"/>
  <c r="B4206" i="3"/>
  <c r="B4808" i="3"/>
  <c r="B2420" i="3"/>
  <c r="B1283" i="3"/>
  <c r="B3280" i="3"/>
  <c r="B787" i="3"/>
  <c r="B4661" i="3"/>
  <c r="B3378" i="3"/>
  <c r="B83" i="3"/>
  <c r="B3473" i="3"/>
  <c r="B4745" i="3"/>
  <c r="B1804" i="3"/>
  <c r="B4828" i="3"/>
  <c r="B1742" i="3"/>
  <c r="B696" i="3"/>
  <c r="B4784" i="3"/>
  <c r="B751" i="3"/>
  <c r="B1148" i="3"/>
  <c r="B4895" i="3"/>
  <c r="B3364" i="3"/>
  <c r="B4995" i="3"/>
  <c r="B4530" i="3"/>
  <c r="B5194" i="3"/>
  <c r="B297" i="3"/>
  <c r="B4604" i="3"/>
  <c r="B376" i="3"/>
  <c r="B1757" i="3"/>
  <c r="B3428" i="3"/>
  <c r="B3665" i="3"/>
  <c r="B4204" i="3"/>
  <c r="B4420" i="3"/>
  <c r="B4254" i="3"/>
  <c r="B4611" i="3"/>
  <c r="B5053" i="3"/>
  <c r="B4806" i="3"/>
  <c r="B963" i="3"/>
  <c r="B4612" i="3"/>
  <c r="B4466" i="3"/>
  <c r="B4546" i="3"/>
  <c r="B3407" i="3"/>
  <c r="B2561" i="3"/>
  <c r="B3174" i="3"/>
  <c r="B3776" i="3"/>
  <c r="B1550" i="3"/>
  <c r="B1594" i="3"/>
  <c r="B1574" i="3"/>
  <c r="B1582" i="3"/>
  <c r="B2376" i="3"/>
  <c r="B3179" i="3"/>
  <c r="B1681" i="3"/>
  <c r="B4089" i="3"/>
  <c r="B1264" i="3"/>
  <c r="B3018" i="3"/>
  <c r="B4365" i="3"/>
  <c r="B451" i="3"/>
  <c r="B4777" i="3"/>
  <c r="B4767" i="3"/>
  <c r="B4354" i="3"/>
  <c r="B1481" i="3"/>
  <c r="B4653" i="3"/>
  <c r="B2969" i="3"/>
  <c r="B732" i="3"/>
  <c r="B34" i="3"/>
  <c r="B5145" i="3"/>
  <c r="B3846" i="3"/>
  <c r="B1859" i="3"/>
  <c r="B4588" i="3"/>
  <c r="B4732" i="3"/>
  <c r="B4558" i="3"/>
  <c r="B274" i="3"/>
  <c r="B907" i="3"/>
  <c r="B4231" i="3"/>
  <c r="B422" i="3"/>
  <c r="B1875" i="3"/>
  <c r="B4498" i="3"/>
  <c r="B4980" i="3"/>
  <c r="B4749" i="3"/>
  <c r="B4683" i="3"/>
  <c r="B3208" i="3"/>
  <c r="B4888" i="3"/>
  <c r="B2510" i="3"/>
  <c r="B4401" i="3"/>
  <c r="B5157" i="3"/>
  <c r="B3009" i="3"/>
  <c r="B4973" i="3"/>
  <c r="B3143" i="3"/>
  <c r="B4195" i="3"/>
  <c r="B4124" i="3"/>
  <c r="B2964" i="3"/>
  <c r="B342" i="3"/>
  <c r="B4684" i="3"/>
  <c r="B5041" i="3"/>
  <c r="B3965" i="3"/>
  <c r="B4287" i="3"/>
  <c r="B1898" i="3"/>
  <c r="B3737" i="3"/>
  <c r="B3258" i="3"/>
  <c r="B1531" i="3"/>
  <c r="B2518" i="3"/>
  <c r="B236" i="3"/>
  <c r="B4222" i="3"/>
  <c r="B890" i="3"/>
  <c r="B4977" i="3"/>
  <c r="B4735" i="3"/>
  <c r="B2488" i="3"/>
  <c r="B3007" i="3"/>
  <c r="B4912" i="3"/>
  <c r="B3480" i="3"/>
  <c r="B4593" i="3"/>
  <c r="B2495" i="3"/>
  <c r="B4730" i="3"/>
  <c r="B4910" i="3"/>
  <c r="B1032" i="3"/>
  <c r="B4819" i="3"/>
  <c r="B4620" i="3"/>
  <c r="B4417" i="3"/>
  <c r="B753" i="3"/>
  <c r="B4606" i="3"/>
  <c r="B4838" i="3"/>
  <c r="B4094" i="3"/>
  <c r="B5241" i="3"/>
  <c r="B4292" i="3"/>
  <c r="B4153" i="3"/>
  <c r="B4003" i="3"/>
  <c r="B1896" i="3"/>
  <c r="B1996" i="3"/>
  <c r="B2929" i="3"/>
  <c r="B2596" i="3"/>
  <c r="B2337" i="3"/>
  <c r="B5022" i="3"/>
  <c r="B3414" i="3"/>
  <c r="B3688" i="3"/>
  <c r="B3224" i="3"/>
  <c r="B5202" i="3"/>
  <c r="B2459" i="3"/>
  <c r="B1147" i="3"/>
  <c r="B3581" i="3"/>
  <c r="B4972" i="3"/>
  <c r="B1073" i="3"/>
  <c r="B2714" i="3"/>
  <c r="B5302" i="3"/>
  <c r="B4755" i="3"/>
  <c r="B4826" i="3"/>
  <c r="B4951" i="3"/>
  <c r="B496" i="3"/>
  <c r="B4477" i="3"/>
  <c r="B1537" i="3"/>
  <c r="B1559" i="3"/>
  <c r="B1356" i="3"/>
  <c r="B4038" i="3"/>
  <c r="B94" i="3"/>
  <c r="B4714" i="3"/>
  <c r="B1586" i="3"/>
  <c r="B1801" i="3"/>
  <c r="B3114" i="3"/>
  <c r="B1654" i="3"/>
  <c r="B2865" i="3"/>
  <c r="B3025" i="3"/>
  <c r="B2979" i="3"/>
  <c r="B5260" i="3"/>
  <c r="B163" i="3"/>
  <c r="B2554" i="3"/>
  <c r="B4353" i="3"/>
  <c r="B1858" i="3"/>
  <c r="B4626" i="3"/>
  <c r="B5153" i="3"/>
  <c r="B1039" i="3"/>
  <c r="B5070" i="3"/>
  <c r="B126" i="3"/>
  <c r="B5168" i="3"/>
  <c r="B3830" i="3"/>
  <c r="B4413" i="3"/>
  <c r="B4570" i="3"/>
  <c r="B5141" i="3"/>
  <c r="B3536" i="3"/>
  <c r="B2822" i="3"/>
  <c r="B5079" i="3"/>
  <c r="B2091" i="3"/>
  <c r="B2976" i="3"/>
  <c r="B4323" i="3"/>
  <c r="B1827" i="3"/>
  <c r="B1221" i="3"/>
  <c r="B4249" i="3"/>
  <c r="B3742" i="3"/>
  <c r="B97" i="3"/>
  <c r="B1336" i="3"/>
  <c r="B1688" i="3"/>
  <c r="B4500" i="3"/>
  <c r="B2711" i="3"/>
  <c r="B1851" i="3"/>
  <c r="B1728" i="3"/>
  <c r="B4083" i="3"/>
  <c r="B5248" i="3"/>
  <c r="B2086" i="3"/>
  <c r="B1219" i="3"/>
  <c r="B4237" i="3"/>
  <c r="B2395" i="3"/>
  <c r="B352" i="3"/>
  <c r="B3773" i="3"/>
  <c r="B1037" i="3"/>
  <c r="B4565" i="3"/>
  <c r="B4315" i="3"/>
  <c r="B5250" i="3"/>
  <c r="B105" i="3"/>
  <c r="B4460" i="3"/>
  <c r="B862" i="3"/>
  <c r="B231" i="3"/>
  <c r="B2706" i="3"/>
  <c r="B4159" i="3"/>
  <c r="B3938" i="3"/>
  <c r="B675" i="3"/>
  <c r="B3057" i="3"/>
  <c r="B801" i="3"/>
  <c r="B3372" i="3"/>
  <c r="B1372" i="3"/>
  <c r="B840" i="3"/>
  <c r="B2669" i="3"/>
  <c r="B2624" i="3"/>
  <c r="B2616" i="3"/>
  <c r="B2234" i="3"/>
  <c r="B2223" i="3"/>
  <c r="B4708" i="3"/>
  <c r="B3152" i="3"/>
  <c r="B4907" i="3"/>
  <c r="B1864" i="3"/>
  <c r="B1838" i="3"/>
  <c r="B2805" i="3"/>
  <c r="B4815" i="3"/>
  <c r="B1563" i="3"/>
  <c r="B772" i="3"/>
  <c r="B1879" i="3"/>
  <c r="B5071" i="3"/>
  <c r="B4447" i="3"/>
  <c r="B2710" i="3"/>
  <c r="B4624" i="3"/>
  <c r="B3910" i="3"/>
  <c r="B1460" i="3"/>
  <c r="B4789" i="3"/>
  <c r="B4647" i="3"/>
  <c r="B4512" i="3"/>
  <c r="B1957" i="3"/>
  <c r="B4532" i="3"/>
  <c r="B4174" i="3"/>
  <c r="B724" i="3"/>
  <c r="B3769" i="3"/>
  <c r="B567" i="3"/>
  <c r="B4352" i="3"/>
  <c r="B4493" i="3"/>
  <c r="B5113" i="3"/>
  <c r="B5154" i="3"/>
  <c r="B5219" i="3"/>
  <c r="B5243" i="3"/>
  <c r="B4197" i="3"/>
  <c r="B3502" i="3"/>
  <c r="B2213" i="3"/>
  <c r="B3855" i="3"/>
  <c r="B2456" i="3"/>
  <c r="B1523" i="3"/>
  <c r="B1500" i="3"/>
  <c r="B1360" i="3"/>
  <c r="B4987" i="3"/>
  <c r="B4776" i="3"/>
  <c r="B1846" i="3"/>
  <c r="B5099" i="3"/>
  <c r="B5195" i="3"/>
  <c r="B4402" i="3"/>
  <c r="B998" i="3"/>
  <c r="B4568" i="3"/>
  <c r="B4682" i="3"/>
  <c r="B3797" i="3"/>
  <c r="B2532" i="3"/>
  <c r="B1849" i="3"/>
  <c r="B4946" i="3"/>
  <c r="B4479" i="3"/>
  <c r="B4143" i="3"/>
  <c r="B4053" i="3"/>
  <c r="B4031" i="3"/>
  <c r="B4165" i="3"/>
  <c r="B5236" i="3"/>
  <c r="B2664" i="3"/>
  <c r="B4672" i="3"/>
  <c r="B4362" i="3"/>
  <c r="B233" i="3"/>
  <c r="B4216" i="3"/>
  <c r="B3455" i="3"/>
  <c r="B4822" i="3"/>
  <c r="B3250" i="3"/>
  <c r="B5124" i="3"/>
  <c r="B3653" i="3"/>
  <c r="B5036" i="3"/>
  <c r="B544" i="3"/>
  <c r="B4173" i="3"/>
  <c r="B735" i="3"/>
  <c r="B4845" i="3"/>
  <c r="B5222" i="3"/>
  <c r="B4033" i="3"/>
  <c r="B3744" i="3"/>
  <c r="B2024" i="3"/>
  <c r="B2721" i="3"/>
  <c r="B4096" i="3"/>
  <c r="B5300" i="3"/>
  <c r="B3811" i="3"/>
  <c r="B4348" i="3"/>
  <c r="B4555" i="3"/>
  <c r="B4871" i="3"/>
  <c r="B5060" i="3"/>
  <c r="B512" i="3"/>
  <c r="B4189" i="3"/>
  <c r="B877" i="3"/>
  <c r="B5050" i="3"/>
  <c r="B410" i="3"/>
  <c r="B2520" i="3"/>
  <c r="B3525" i="3"/>
  <c r="B4754" i="3"/>
  <c r="B3159" i="3"/>
  <c r="B2482" i="3"/>
  <c r="B5259" i="3"/>
  <c r="B3706" i="3"/>
  <c r="B4639" i="3"/>
  <c r="B1619" i="3"/>
  <c r="B5103" i="3"/>
  <c r="B4115" i="3"/>
  <c r="B3026" i="3"/>
  <c r="B3801" i="3"/>
  <c r="B4473" i="3"/>
  <c r="B2833" i="3"/>
  <c r="B5171" i="3"/>
  <c r="B4670" i="3"/>
  <c r="B119" i="3"/>
  <c r="B2499" i="3"/>
  <c r="B5112" i="3"/>
  <c r="B4051" i="3"/>
  <c r="B1195" i="3"/>
  <c r="B2772" i="3"/>
  <c r="B4563" i="3"/>
  <c r="B3553" i="3"/>
  <c r="B2746" i="3"/>
  <c r="B623" i="3"/>
  <c r="B4236" i="3"/>
  <c r="B4264" i="3"/>
  <c r="B5037" i="3"/>
  <c r="B3079" i="3"/>
  <c r="B4861" i="3"/>
  <c r="B2777" i="3"/>
  <c r="B57" i="3"/>
  <c r="B1682" i="3"/>
  <c r="B4454" i="3"/>
  <c r="B5024" i="3"/>
  <c r="B5262" i="3"/>
  <c r="B5139" i="3"/>
  <c r="B4644" i="3"/>
  <c r="B128" i="3"/>
  <c r="B4492" i="3"/>
  <c r="B1250" i="3"/>
  <c r="B3313" i="3"/>
  <c r="B1170" i="3"/>
  <c r="B1252" i="3"/>
  <c r="B1786" i="3"/>
  <c r="B2063" i="3"/>
  <c r="B4758" i="3"/>
  <c r="B186" i="3"/>
  <c r="B4954" i="3"/>
  <c r="B3158" i="3"/>
  <c r="B4252" i="3"/>
  <c r="B4892" i="3"/>
  <c r="B5026" i="3"/>
  <c r="B2886" i="3"/>
  <c r="B2493" i="3"/>
  <c r="B2814" i="3"/>
  <c r="B1722" i="3"/>
  <c r="B683" i="3"/>
  <c r="B4847" i="3"/>
  <c r="B4169" i="3"/>
  <c r="B2860" i="3"/>
  <c r="B4040" i="3"/>
  <c r="B4853" i="3"/>
  <c r="B4605" i="3"/>
  <c r="B4513" i="3"/>
  <c r="B3644" i="3"/>
  <c r="B5142" i="3"/>
  <c r="B1571" i="3"/>
  <c r="B1735" i="3"/>
  <c r="B4120" i="3"/>
  <c r="B3425" i="3"/>
  <c r="B4385" i="3"/>
  <c r="B1653" i="3"/>
  <c r="B4103" i="3"/>
  <c r="B809" i="3"/>
  <c r="B4890" i="3"/>
  <c r="B2307" i="3"/>
  <c r="B276" i="3"/>
  <c r="B2849" i="3"/>
  <c r="B3272" i="3"/>
  <c r="B4437" i="3"/>
  <c r="B3570" i="3"/>
  <c r="B4884" i="3"/>
  <c r="B3490" i="3"/>
  <c r="B1512" i="3"/>
  <c r="B1463" i="3"/>
  <c r="B3731" i="3"/>
  <c r="B4079" i="3"/>
  <c r="B874" i="3"/>
  <c r="B1031" i="3"/>
  <c r="B1711" i="3"/>
  <c r="B5167" i="3"/>
  <c r="B4068" i="3"/>
  <c r="B3475" i="3"/>
  <c r="B2602" i="3"/>
  <c r="B4300" i="3"/>
  <c r="B2924" i="3"/>
  <c r="B4816" i="3"/>
  <c r="B5082" i="3"/>
  <c r="B141" i="3"/>
  <c r="B5027" i="3"/>
  <c r="B4726" i="3"/>
  <c r="B817" i="3"/>
  <c r="B4579" i="3"/>
  <c r="B1502" i="3"/>
  <c r="B460" i="3"/>
  <c r="B4112" i="3"/>
  <c r="B4175" i="3"/>
  <c r="B4775" i="3"/>
  <c r="B4377" i="3"/>
  <c r="B4438" i="3"/>
  <c r="B4485" i="3"/>
  <c r="B3507" i="3"/>
  <c r="B4854" i="3"/>
  <c r="B3848" i="3"/>
  <c r="B4802" i="3"/>
  <c r="B4111" i="3"/>
  <c r="B3508" i="3"/>
  <c r="B5130" i="3"/>
  <c r="B4167" i="3"/>
  <c r="B3201" i="3"/>
  <c r="B4205" i="3"/>
  <c r="B3996" i="3"/>
  <c r="B4137" i="3"/>
  <c r="B5065" i="3"/>
  <c r="B3187" i="3"/>
  <c r="B3024" i="3"/>
  <c r="B5094" i="3"/>
  <c r="B4996" i="3"/>
  <c r="B3430" i="3"/>
  <c r="B4725" i="3"/>
  <c r="B29" i="3"/>
  <c r="B4355" i="3"/>
  <c r="B338" i="3"/>
  <c r="B3204" i="3"/>
  <c r="B3439" i="3"/>
  <c r="B4613" i="3"/>
  <c r="B4637" i="3"/>
  <c r="B2918" i="3"/>
  <c r="B2166" i="3"/>
  <c r="B5029" i="3"/>
  <c r="B1184" i="3"/>
  <c r="B4510" i="3"/>
  <c r="B4463" i="3"/>
  <c r="B4574" i="3"/>
  <c r="B4576" i="3"/>
  <c r="B1916" i="3"/>
  <c r="B4737" i="3"/>
  <c r="B1412" i="3"/>
  <c r="B5045" i="3"/>
  <c r="B5165" i="3"/>
  <c r="B1062" i="3"/>
  <c r="B4322" i="3"/>
  <c r="B885" i="3"/>
  <c r="B3309" i="3"/>
  <c r="B33" i="3"/>
  <c r="B4788" i="3"/>
  <c r="B1547" i="3"/>
  <c r="B1841" i="3"/>
  <c r="B4756" i="3"/>
  <c r="B1617" i="3"/>
  <c r="B127" i="3"/>
  <c r="B1692" i="3"/>
  <c r="B2042" i="3"/>
  <c r="B4993" i="3"/>
  <c r="B1787" i="3"/>
  <c r="B4693" i="3"/>
  <c r="B3240" i="3"/>
  <c r="B4794" i="3"/>
  <c r="B4110" i="3"/>
  <c r="B349" i="3"/>
  <c r="B1788" i="3"/>
  <c r="B89" i="3"/>
  <c r="B43" i="3"/>
  <c r="B1383" i="3"/>
  <c r="B4056" i="3"/>
  <c r="B547" i="3"/>
  <c r="B4562" i="3"/>
  <c r="B4297" i="3"/>
  <c r="B4311" i="3"/>
  <c r="B3847" i="3"/>
  <c r="B2944" i="3"/>
  <c r="B2383" i="3"/>
  <c r="B4508" i="3"/>
  <c r="B5137" i="3"/>
  <c r="B3841" i="3"/>
  <c r="B4399" i="3"/>
  <c r="B2712" i="3"/>
  <c r="B2350" i="3"/>
  <c r="B5009" i="3"/>
  <c r="B4960" i="3"/>
  <c r="B4350" i="3"/>
  <c r="B4321" i="3"/>
  <c r="B3334" i="3"/>
  <c r="B4435" i="3"/>
  <c r="B2309" i="3"/>
  <c r="B560" i="3"/>
  <c r="B1651" i="3"/>
  <c r="B1083" i="3"/>
  <c r="B198" i="3"/>
  <c r="B4275" i="3"/>
  <c r="B2873" i="3"/>
  <c r="B5158" i="3"/>
  <c r="B1029" i="3"/>
  <c r="B1901" i="3"/>
  <c r="B1897" i="3"/>
  <c r="B1554" i="3"/>
  <c r="B3423" i="3"/>
  <c r="B2962" i="3"/>
  <c r="B5220" i="3"/>
  <c r="B4388" i="3"/>
  <c r="B5128" i="3"/>
  <c r="B2672" i="3"/>
  <c r="B1178" i="3"/>
  <c r="B2410" i="3"/>
  <c r="B1960" i="3"/>
  <c r="B1867" i="3"/>
  <c r="B4095" i="3"/>
  <c r="B4674" i="3"/>
  <c r="B4476" i="3"/>
  <c r="B3833" i="3"/>
  <c r="B4889" i="3"/>
  <c r="B4235" i="3"/>
  <c r="B537" i="3"/>
  <c r="B4014" i="3"/>
  <c r="B2778" i="3"/>
  <c r="B1892" i="3"/>
  <c r="B4494" i="3"/>
  <c r="B1064" i="3"/>
  <c r="B4416" i="3"/>
  <c r="B200" i="3"/>
  <c r="B4293" i="3"/>
  <c r="B373" i="3"/>
  <c r="B2417" i="3"/>
  <c r="B52" i="3"/>
  <c r="B4942" i="3"/>
  <c r="B4728" i="3"/>
  <c r="B3699" i="3"/>
  <c r="B4811" i="3"/>
  <c r="B4524" i="3"/>
  <c r="B4517" i="3"/>
  <c r="B3357" i="3"/>
  <c r="B4738" i="3"/>
  <c r="B1690" i="3"/>
  <c r="B2292" i="3"/>
  <c r="B2295" i="3"/>
  <c r="B1632" i="3"/>
  <c r="B1880" i="3"/>
  <c r="B324" i="3"/>
  <c r="B1491" i="3"/>
  <c r="B3081" i="3"/>
  <c r="B2894" i="3"/>
  <c r="B699" i="3"/>
  <c r="B5205" i="3"/>
  <c r="B95" i="3"/>
  <c r="B1024" i="3"/>
  <c r="B4669" i="3"/>
  <c r="B2812" i="3"/>
  <c r="B4655" i="3"/>
  <c r="B4963" i="3"/>
  <c r="B3043" i="3"/>
  <c r="B1698" i="3"/>
  <c r="B4945" i="3"/>
  <c r="B3693" i="3"/>
  <c r="B2408" i="3"/>
  <c r="B2607" i="3"/>
  <c r="B1191" i="3"/>
  <c r="B3871" i="3"/>
  <c r="B1094" i="3"/>
  <c r="B1172" i="3"/>
  <c r="B3092" i="3"/>
  <c r="B283" i="3"/>
  <c r="B139" i="3"/>
  <c r="B4087" i="3"/>
  <c r="B4515" i="3"/>
  <c r="B744" i="3"/>
  <c r="B4880" i="3"/>
  <c r="B2943" i="3"/>
  <c r="B3062" i="3"/>
  <c r="B4042" i="3"/>
  <c r="B5056" i="3"/>
  <c r="B1737" i="3"/>
  <c r="B1633" i="3"/>
  <c r="B5008" i="3"/>
  <c r="B4665" i="3"/>
  <c r="B4478" i="3"/>
  <c r="B2657" i="3"/>
  <c r="B87" i="3"/>
  <c r="B3662" i="3"/>
  <c r="B866" i="3"/>
  <c r="B4804" i="3"/>
  <c r="B3654" i="3"/>
  <c r="B684" i="3"/>
  <c r="B4085" i="3"/>
  <c r="B764" i="3"/>
  <c r="B4551" i="3"/>
  <c r="B4722" i="3"/>
  <c r="B2722" i="3"/>
  <c r="B80" i="3"/>
  <c r="B4552" i="3"/>
  <c r="B4259" i="3"/>
  <c r="B4949" i="3"/>
  <c r="B4528" i="3"/>
  <c r="B2143" i="3"/>
  <c r="B4940" i="3"/>
  <c r="B4122" i="3"/>
  <c r="B5116" i="3"/>
  <c r="B831" i="3"/>
  <c r="B3673" i="3"/>
  <c r="B3249" i="3"/>
  <c r="B4798" i="3"/>
  <c r="B610" i="3"/>
  <c r="B2382" i="3"/>
  <c r="B2361" i="3"/>
  <c r="B2464" i="3"/>
  <c r="B2480" i="3"/>
  <c r="B450" i="3"/>
  <c r="B2365" i="3"/>
  <c r="B1882" i="3"/>
  <c r="B4894" i="3"/>
  <c r="B3478" i="3"/>
  <c r="B1018" i="3"/>
  <c r="B2933" i="3"/>
  <c r="B1930" i="3"/>
  <c r="B381" i="3"/>
  <c r="B561" i="3"/>
  <c r="B4309" i="3"/>
  <c r="B5012" i="3"/>
  <c r="B4667" i="3"/>
  <c r="B3217" i="3"/>
  <c r="B3968" i="3"/>
  <c r="B4398" i="3"/>
  <c r="B5101" i="3"/>
  <c r="B4842" i="3"/>
  <c r="B3753" i="3"/>
  <c r="B3834" i="3"/>
  <c r="B1813" i="3"/>
  <c r="B4410" i="3"/>
  <c r="B1794" i="3"/>
  <c r="B125" i="3"/>
  <c r="B1706" i="3"/>
  <c r="B1789" i="3"/>
  <c r="B3399" i="3"/>
  <c r="B3096" i="3"/>
  <c r="B734" i="3"/>
  <c r="B788" i="3"/>
  <c r="B3843" i="3"/>
  <c r="B569" i="3"/>
  <c r="B3815" i="3"/>
  <c r="B4496" i="3"/>
  <c r="B5030" i="3"/>
  <c r="B3457" i="3"/>
  <c r="B3786" i="3"/>
  <c r="B642" i="3"/>
  <c r="B1254" i="3"/>
  <c r="B2028" i="3"/>
  <c r="B4516" i="3"/>
  <c r="B4810" i="3"/>
  <c r="B2027" i="3"/>
  <c r="B4752" i="3"/>
  <c r="B4652" i="3"/>
  <c r="B4444" i="3"/>
  <c r="B3216" i="3"/>
  <c r="B1392" i="3"/>
  <c r="B2523" i="3"/>
  <c r="B3154" i="3"/>
  <c r="B4387" i="3"/>
  <c r="B76" i="3"/>
  <c r="B4225" i="3"/>
  <c r="B2650" i="3"/>
  <c r="B2819" i="3"/>
  <c r="B2818" i="3"/>
  <c r="B2813" i="3"/>
  <c r="B1508" i="3"/>
  <c r="B3109" i="3"/>
  <c r="B4625" i="3"/>
  <c r="B3339" i="3"/>
  <c r="B3220" i="3"/>
  <c r="B4045" i="3"/>
  <c r="B2071" i="3"/>
  <c r="B5057" i="3"/>
  <c r="B556" i="3"/>
  <c r="B3418" i="3"/>
  <c r="B4721" i="3"/>
  <c r="B1710" i="3"/>
  <c r="B3580" i="3"/>
  <c r="B1596" i="3"/>
  <c r="B420" i="3"/>
  <c r="B4107" i="3"/>
  <c r="B4480" i="3"/>
  <c r="B4923" i="3"/>
  <c r="B3304" i="3"/>
  <c r="B1802" i="3"/>
  <c r="B4701" i="3"/>
  <c r="B4424" i="3"/>
  <c r="B2687" i="3"/>
  <c r="B531" i="3"/>
  <c r="B3795" i="3"/>
  <c r="B2978" i="3"/>
  <c r="B4623" i="3"/>
  <c r="B5276" i="3"/>
  <c r="B2242" i="3"/>
  <c r="B1238" i="3"/>
  <c r="B5233" i="3"/>
  <c r="B4258" i="3"/>
  <c r="B2259" i="3"/>
  <c r="B1926" i="3"/>
  <c r="B5258" i="3"/>
  <c r="B3070" i="3"/>
  <c r="B1012" i="3"/>
  <c r="B2876" i="3"/>
  <c r="B1732" i="3"/>
  <c r="B1876" i="3"/>
  <c r="B4827" i="3"/>
  <c r="B2100" i="3"/>
  <c r="B1778" i="3"/>
  <c r="B3432" i="3"/>
  <c r="B1798" i="3"/>
  <c r="B4986" i="3"/>
  <c r="B3012" i="3"/>
  <c r="B4331" i="3"/>
  <c r="B5239" i="3"/>
  <c r="B3765" i="3"/>
  <c r="B4113" i="3"/>
  <c r="B3861" i="3"/>
  <c r="B3410" i="3"/>
  <c r="B3733" i="3"/>
  <c r="B5091" i="3"/>
  <c r="B2809" i="3"/>
  <c r="B3362" i="3"/>
  <c r="B377" i="3"/>
  <c r="B1855" i="3"/>
  <c r="B2747" i="3"/>
  <c r="B2866" i="3"/>
  <c r="B2767" i="3"/>
  <c r="B2680" i="3"/>
  <c r="B4263" i="3"/>
  <c r="B4622" i="3"/>
  <c r="B5083" i="3"/>
  <c r="B4151" i="3"/>
  <c r="B930" i="3"/>
  <c r="B2940" i="3"/>
  <c r="B1840" i="3"/>
  <c r="B4467" i="3"/>
  <c r="B2715" i="3"/>
  <c r="B4390" i="3"/>
  <c r="B1389" i="3"/>
  <c r="B4734" i="3"/>
  <c r="B3697" i="3"/>
  <c r="B4358" i="3"/>
  <c r="B1931" i="3"/>
  <c r="B4443" i="3"/>
  <c r="B3532" i="3"/>
  <c r="B4426" i="3"/>
  <c r="B4203" i="3"/>
  <c r="B3210" i="3"/>
  <c r="B1834" i="3"/>
  <c r="B2703" i="3"/>
  <c r="B3696" i="3"/>
  <c r="B4193" i="3"/>
  <c r="B4541" i="3"/>
  <c r="B166" i="3"/>
  <c r="B51" i="3"/>
  <c r="B4790" i="3"/>
  <c r="B5144" i="3"/>
  <c r="B2735" i="3"/>
  <c r="B4136" i="3"/>
  <c r="B4462" i="3"/>
  <c r="B4283" i="3"/>
  <c r="B147" i="3"/>
  <c r="B4116" i="3"/>
  <c r="B5230" i="3"/>
  <c r="B4105" i="3"/>
  <c r="B4286" i="3"/>
  <c r="B4773" i="3"/>
  <c r="B4746" i="3"/>
  <c r="B35" i="3"/>
  <c r="B4899" i="3"/>
  <c r="B3934" i="3"/>
  <c r="B2065" i="3"/>
  <c r="B2036" i="3"/>
  <c r="B4126" i="3"/>
  <c r="B2689" i="3"/>
  <c r="B3167" i="3"/>
  <c r="B1175" i="3"/>
  <c r="B4428" i="3"/>
  <c r="B4131" i="3"/>
  <c r="B474" i="3"/>
  <c r="B5162" i="3"/>
  <c r="B3837" i="3"/>
  <c r="B4814" i="3"/>
  <c r="B4034" i="3"/>
  <c r="B4306" i="3"/>
  <c r="B4782" i="3"/>
  <c r="B1967" i="3"/>
  <c r="B1527" i="3"/>
  <c r="B1640" i="3"/>
  <c r="B2793" i="3"/>
  <c r="B4666" i="3"/>
  <c r="B4837" i="3"/>
  <c r="B1649" i="3"/>
  <c r="B3842" i="3"/>
  <c r="B3483" i="3"/>
  <c r="B4741" i="3"/>
  <c r="B93" i="3"/>
  <c r="B582" i="3"/>
  <c r="B3060" i="3"/>
  <c r="B4104" i="3"/>
  <c r="B2329" i="3"/>
  <c r="B5059" i="3"/>
  <c r="B3997" i="3"/>
  <c r="B4289" i="3"/>
  <c r="B322" i="3"/>
  <c r="B4846" i="3"/>
  <c r="B680" i="3"/>
  <c r="B4210" i="3"/>
  <c r="B4941" i="3"/>
  <c r="B4295" i="3"/>
  <c r="B55" i="3"/>
  <c r="B4865" i="3"/>
  <c r="B4699" i="3"/>
  <c r="B542" i="3"/>
  <c r="B4768" i="3"/>
  <c r="B881" i="3"/>
  <c r="B2583" i="3"/>
  <c r="B2159" i="3"/>
  <c r="B3354" i="3"/>
  <c r="B1604" i="3"/>
  <c r="B1269" i="3"/>
  <c r="B1151" i="3"/>
  <c r="B2959" i="3"/>
  <c r="B5170" i="3"/>
  <c r="B708" i="3"/>
  <c r="B1800" i="3"/>
  <c r="B4597" i="3"/>
  <c r="B1197" i="3"/>
  <c r="B4534" i="3"/>
  <c r="B3178" i="3"/>
  <c r="B4881" i="3"/>
  <c r="B2320" i="3"/>
  <c r="B961" i="3"/>
  <c r="B4559" i="3"/>
  <c r="B3794" i="3"/>
  <c r="B5011" i="3"/>
  <c r="B1919" i="3"/>
  <c r="B4594" i="3"/>
  <c r="B3267" i="3"/>
  <c r="B4234" i="3"/>
  <c r="B5148" i="3"/>
  <c r="B2974" i="3"/>
  <c r="B5207" i="3"/>
  <c r="B5247" i="3"/>
  <c r="B1700" i="3"/>
  <c r="B4400" i="3"/>
  <c r="B5097" i="3"/>
  <c r="B1551" i="3"/>
  <c r="B4238" i="3"/>
  <c r="B5203" i="3"/>
  <c r="B1983" i="3"/>
  <c r="B3785" i="3"/>
  <c r="B4654" i="3"/>
  <c r="B5063" i="3"/>
  <c r="B2829" i="3"/>
  <c r="B1831" i="3"/>
  <c r="B2998" i="3"/>
  <c r="B3610" i="3"/>
  <c r="B4743" i="3"/>
  <c r="B2514" i="3"/>
  <c r="B1040" i="3"/>
  <c r="B4101" i="3"/>
  <c r="B4037" i="3"/>
  <c r="B5196" i="3"/>
  <c r="B4692" i="3"/>
  <c r="B4712" i="3"/>
  <c r="B4341" i="3"/>
  <c r="B1485" i="3"/>
  <c r="B4255" i="3"/>
  <c r="B4374" i="3"/>
  <c r="B4285" i="3"/>
  <c r="B5075" i="3"/>
  <c r="B4386" i="3"/>
  <c r="B3437" i="3"/>
  <c r="B4318" i="3"/>
  <c r="B341" i="3"/>
  <c r="B4483" i="3"/>
  <c r="B2690" i="3"/>
  <c r="B5131" i="3"/>
  <c r="B1933" i="3"/>
  <c r="B4457" i="3"/>
  <c r="B4376" i="3"/>
  <c r="B1745" i="3"/>
  <c r="B3306" i="3"/>
  <c r="B4934" i="3"/>
  <c r="B1693" i="3"/>
  <c r="B4919" i="3"/>
  <c r="B1601" i="3"/>
  <c r="B4441" i="3"/>
  <c r="B2782" i="3"/>
  <c r="B5090" i="3"/>
  <c r="B1805" i="3"/>
  <c r="B277" i="3"/>
  <c r="B4011" i="3"/>
  <c r="B3805" i="3"/>
  <c r="B5256" i="3"/>
  <c r="B3404" i="3"/>
  <c r="B3105" i="3"/>
  <c r="B3273" i="3"/>
  <c r="B4076" i="3"/>
  <c r="B4567" i="3"/>
  <c r="B4859" i="3"/>
  <c r="B3003" i="3"/>
  <c r="B3755" i="3"/>
  <c r="B4962" i="3"/>
  <c r="B4595" i="3"/>
  <c r="B5084" i="3"/>
  <c r="B4119" i="3"/>
  <c r="B4320" i="3"/>
  <c r="B566" i="3"/>
  <c r="B4278" i="3"/>
  <c r="B4931" i="3"/>
  <c r="B3890" i="3"/>
  <c r="B333" i="3"/>
  <c r="B1302" i="3"/>
  <c r="B3500" i="3"/>
  <c r="B2538" i="3"/>
  <c r="B3667" i="3"/>
  <c r="B1174" i="3"/>
  <c r="B3329" i="3"/>
  <c r="B1348" i="3"/>
  <c r="B4160" i="3"/>
  <c r="B3701" i="3"/>
  <c r="B4874" i="3"/>
  <c r="B217" i="3"/>
  <c r="B175" i="3"/>
  <c r="B3327" i="3"/>
  <c r="B513" i="3"/>
  <c r="B4617" i="3"/>
  <c r="B1304" i="3"/>
  <c r="B1363" i="3"/>
  <c r="B3083" i="3"/>
  <c r="B366" i="3"/>
  <c r="B4668" i="3"/>
  <c r="B4196" i="3"/>
  <c r="B5221" i="3"/>
  <c r="B1442" i="3"/>
  <c r="B834" i="3"/>
  <c r="B4550" i="3"/>
  <c r="B489" i="3"/>
  <c r="B5228" i="3"/>
  <c r="B4345" i="3"/>
  <c r="B1285" i="3"/>
  <c r="B4584" i="3"/>
  <c r="B4938" i="3"/>
  <c r="B3288" i="3"/>
  <c r="B4877" i="3"/>
  <c r="B2825" i="3"/>
  <c r="B4685" i="3"/>
  <c r="B78" i="3"/>
  <c r="B5227" i="3"/>
  <c r="B4992" i="3"/>
  <c r="B4310" i="3"/>
  <c r="B417" i="3"/>
  <c r="B2618" i="3"/>
  <c r="B4928" i="3"/>
  <c r="B4843" i="3"/>
  <c r="B5121" i="3"/>
  <c r="B4445" i="3"/>
  <c r="B5193" i="3"/>
  <c r="B3762" i="3"/>
  <c r="B4933" i="3"/>
  <c r="B3749" i="3"/>
  <c r="B2509" i="3"/>
  <c r="B4162" i="3"/>
  <c r="B4774" i="3"/>
  <c r="B3149" i="3"/>
  <c r="B3588" i="3"/>
  <c r="B4920" i="3"/>
  <c r="B2206" i="3"/>
  <c r="B4442" i="3"/>
  <c r="B1115" i="3"/>
  <c r="B2409" i="3"/>
  <c r="B4248" i="3"/>
  <c r="B3821" i="3"/>
  <c r="B409" i="3"/>
  <c r="B5003" i="3"/>
  <c r="B4629" i="3"/>
  <c r="B2085" i="3"/>
  <c r="B5054" i="3"/>
  <c r="B2699" i="3"/>
  <c r="B3745" i="3"/>
  <c r="B3263" i="3"/>
  <c r="B3448" i="3"/>
  <c r="B2179" i="3"/>
  <c r="B397" i="3"/>
  <c r="B1715" i="3"/>
  <c r="B4578" i="3"/>
  <c r="B5160" i="3"/>
  <c r="B4262" i="3"/>
  <c r="B4057" i="3"/>
  <c r="B3271" i="3"/>
  <c r="B4246" i="3"/>
  <c r="B4436" i="3"/>
  <c r="B3411" i="3"/>
  <c r="B3188" i="3"/>
  <c r="B3137" i="3"/>
  <c r="B2155" i="3"/>
  <c r="B3000" i="3"/>
  <c r="B448" i="3"/>
  <c r="B3906" i="3"/>
  <c r="B704" i="3"/>
  <c r="B3928" i="3"/>
  <c r="B4955" i="3"/>
  <c r="B1003" i="3"/>
  <c r="B4470" i="3"/>
  <c r="B5135" i="3"/>
  <c r="B4489" i="3"/>
  <c r="B4324" i="3"/>
  <c r="B4671" i="3"/>
  <c r="B1824" i="3"/>
  <c r="B4724" i="3"/>
  <c r="B4125" i="3"/>
  <c r="B315" i="3"/>
  <c r="B1342" i="3"/>
  <c r="B1825" i="3"/>
  <c r="B3292" i="3"/>
  <c r="B2490" i="3"/>
  <c r="B2953" i="3"/>
  <c r="B4970" i="3"/>
  <c r="B2786" i="3"/>
  <c r="B4601" i="3"/>
  <c r="B4632" i="3"/>
  <c r="B4700" i="3"/>
  <c r="B992" i="3"/>
  <c r="B1007" i="3"/>
  <c r="B165" i="3"/>
  <c r="B1082" i="3"/>
  <c r="B3320" i="3"/>
  <c r="B3868" i="3"/>
  <c r="B4128" i="3"/>
  <c r="B5244" i="3"/>
  <c r="B3382" i="3"/>
  <c r="B1061" i="3"/>
  <c r="B477" i="3"/>
  <c r="B3184" i="3"/>
  <c r="B2578" i="3"/>
  <c r="B3255" i="3"/>
  <c r="B1293" i="3"/>
  <c r="B4412" i="3"/>
  <c r="B3221" i="3"/>
  <c r="B1059" i="3"/>
  <c r="B4170" i="3"/>
  <c r="B4132" i="3"/>
  <c r="B3713" i="3"/>
  <c r="B1063" i="3"/>
  <c r="B5164" i="3"/>
  <c r="B2719" i="3"/>
  <c r="B4078" i="3"/>
  <c r="B3862" i="3"/>
  <c r="B4212" i="3"/>
  <c r="B4208" i="3"/>
  <c r="B5092" i="3"/>
  <c r="B3385" i="3"/>
  <c r="B4583" i="3"/>
  <c r="B2874" i="3"/>
  <c r="B3684" i="3"/>
  <c r="B2804" i="3"/>
  <c r="B433" i="3"/>
  <c r="B317" i="3"/>
  <c r="B1848" i="3"/>
  <c r="B5216" i="3"/>
  <c r="B5235" i="3"/>
  <c r="B3435" i="3"/>
  <c r="B1771" i="3"/>
  <c r="B143" i="3"/>
  <c r="B1734" i="3"/>
  <c r="B2911" i="3"/>
  <c r="B3431" i="3"/>
  <c r="B1028" i="3"/>
  <c r="B5044" i="3"/>
  <c r="B1624" i="3"/>
  <c r="B2533" i="3"/>
  <c r="B4740" i="3"/>
  <c r="B1050" i="3"/>
  <c r="B3397" i="3"/>
  <c r="B102" i="3"/>
  <c r="B3729" i="3"/>
  <c r="B864" i="3"/>
  <c r="B4793" i="3"/>
  <c r="B3160" i="3"/>
  <c r="B5245" i="3"/>
  <c r="B4867" i="3"/>
  <c r="B3777" i="3"/>
  <c r="B4367" i="3"/>
  <c r="B4290" i="3"/>
  <c r="B1625" i="3"/>
  <c r="B2049" i="3"/>
  <c r="B5104" i="3"/>
  <c r="B4609" i="3"/>
  <c r="B4181" i="3"/>
  <c r="B3452" i="3"/>
  <c r="B3899" i="3"/>
  <c r="B4896" i="3"/>
  <c r="B1943" i="3"/>
  <c r="B2868" i="3"/>
  <c r="B2794" i="3"/>
  <c r="B2915" i="3"/>
  <c r="B3881" i="3"/>
  <c r="B5014" i="3"/>
  <c r="B1744" i="3"/>
  <c r="B4691" i="3"/>
  <c r="B4130" i="3"/>
  <c r="B154" i="3"/>
  <c r="B122" i="3"/>
  <c r="B1816" i="3"/>
  <c r="B836" i="3"/>
  <c r="B4448" i="3"/>
  <c r="B3352" i="3"/>
  <c r="B1697" i="3"/>
  <c r="B4971" i="3"/>
  <c r="B2477" i="3"/>
  <c r="B4645" i="3"/>
  <c r="B4411" i="3"/>
  <c r="B4727" i="3"/>
  <c r="B363" i="3"/>
  <c r="B3055" i="3"/>
  <c r="B12" i="3"/>
  <c r="B4850" i="3"/>
  <c r="B723" i="3"/>
  <c r="B5229" i="3"/>
  <c r="B1796" i="3"/>
  <c r="B4781" i="3"/>
  <c r="B3560" i="3"/>
  <c r="B2984" i="3"/>
  <c r="B5081" i="3"/>
  <c r="B4140" i="3"/>
  <c r="B5118" i="3"/>
  <c r="B3019" i="3"/>
  <c r="B2947" i="3"/>
  <c r="B3311" i="3"/>
  <c r="B624" i="3"/>
  <c r="B4581" i="3"/>
  <c r="B222" i="3"/>
  <c r="B5204" i="3"/>
  <c r="B4943" i="3"/>
  <c r="B4825" i="3"/>
  <c r="B3213" i="3"/>
  <c r="B1684" i="3"/>
  <c r="B1482" i="3"/>
  <c r="B4795" i="3"/>
  <c r="B4431" i="3"/>
  <c r="B4841" i="3"/>
  <c r="B4720" i="3"/>
  <c r="B345" i="3"/>
  <c r="B4382" i="3"/>
  <c r="B4099" i="3"/>
  <c r="B688" i="3"/>
  <c r="B4251" i="3"/>
  <c r="B4317" i="3"/>
  <c r="B4763" i="3"/>
  <c r="B4452" i="3"/>
  <c r="B2193" i="3"/>
  <c r="B4769" i="3"/>
  <c r="B4177" i="3"/>
  <c r="B3449" i="3"/>
  <c r="B2815" i="3"/>
  <c r="B3122" i="3"/>
  <c r="B5085" i="3"/>
  <c r="B4239" i="3"/>
  <c r="B4904" i="3"/>
  <c r="B4903" i="3"/>
  <c r="B1558" i="3"/>
  <c r="B4950" i="3"/>
  <c r="B1212" i="3"/>
  <c r="B153" i="3"/>
  <c r="B1311" i="3"/>
  <c r="B654" i="3"/>
  <c r="B4157" i="3"/>
  <c r="B2438" i="3"/>
  <c r="B4631" i="3"/>
  <c r="B1393" i="3"/>
  <c r="B1822" i="3"/>
  <c r="B151" i="3"/>
  <c r="B1053" i="3"/>
  <c r="B1317" i="3"/>
  <c r="B4261" i="3"/>
  <c r="B4260" i="3"/>
  <c r="B4662" i="3"/>
  <c r="B4180" i="3"/>
  <c r="B5213" i="3"/>
  <c r="B5240" i="3"/>
  <c r="B4019" i="3"/>
  <c r="B780" i="3"/>
  <c r="B4514" i="3"/>
  <c r="B4948" i="3"/>
  <c r="B3207" i="3"/>
  <c r="B4491" i="3"/>
  <c r="B3227" i="3"/>
  <c r="B3100" i="3"/>
  <c r="B4092" i="3"/>
  <c r="B5001" i="3"/>
  <c r="B1917" i="3"/>
  <c r="B4102" i="3"/>
  <c r="B2681" i="3"/>
  <c r="B2676" i="3"/>
  <c r="B2686" i="3"/>
  <c r="B5126" i="3"/>
  <c r="B3598" i="3"/>
  <c r="B3453" i="3"/>
  <c r="B1345" i="3"/>
  <c r="B5072" i="3"/>
  <c r="B118" i="3"/>
  <c r="B442" i="3"/>
  <c r="B4542" i="3"/>
  <c r="B101" i="3"/>
  <c r="B4432" i="3"/>
  <c r="B120" i="3"/>
  <c r="B4834" i="3"/>
  <c r="B1217" i="3"/>
  <c r="B2121" i="3"/>
  <c r="B4591" i="3"/>
  <c r="B1560" i="3"/>
  <c r="B3603" i="3"/>
  <c r="B4924" i="3"/>
  <c r="B1937" i="3"/>
  <c r="B1583" i="3"/>
  <c r="B1861" i="3"/>
  <c r="B4809" i="3"/>
  <c r="B4627" i="3"/>
  <c r="B4487" i="3"/>
  <c r="B4900" i="3"/>
  <c r="B4772" i="3"/>
  <c r="B5000" i="3"/>
  <c r="B3735" i="3"/>
  <c r="B325" i="3"/>
  <c r="B5189" i="3"/>
  <c r="B3758" i="3"/>
  <c r="B810" i="3"/>
  <c r="B4364" i="3"/>
  <c r="B4771" i="3"/>
  <c r="B4384" i="3"/>
  <c r="B4944" i="3"/>
  <c r="B3101" i="3"/>
  <c r="B4882" i="3"/>
  <c r="B4953" i="3"/>
  <c r="B2882" i="3"/>
  <c r="B5140" i="3"/>
  <c r="B3637" i="3"/>
  <c r="B1979" i="3"/>
  <c r="B2440" i="3"/>
  <c r="B3931" i="3"/>
  <c r="B1201" i="3"/>
  <c r="B2968" i="3"/>
  <c r="B1494" i="3"/>
  <c r="B1495" i="3"/>
  <c r="B1524" i="3"/>
  <c r="B3579" i="3"/>
  <c r="B1652" i="3"/>
  <c r="B1853" i="3"/>
  <c r="B69" i="3"/>
  <c r="B1726" i="3"/>
  <c r="B4351" i="3"/>
  <c r="B579" i="3"/>
  <c r="B1599" i="3"/>
  <c r="B4418" i="3"/>
  <c r="B1391" i="3"/>
  <c r="B4898" i="3"/>
  <c r="B3498" i="3"/>
  <c r="B5018" i="3"/>
  <c r="B4875" i="3"/>
  <c r="B4864" i="3"/>
  <c r="B505" i="3"/>
  <c r="B640" i="3"/>
  <c r="B639" i="3"/>
  <c r="B1043" i="3"/>
  <c r="B1607" i="3"/>
  <c r="B3146" i="3"/>
  <c r="B4370" i="3"/>
  <c r="B5039" i="3"/>
  <c r="B4268" i="3"/>
  <c r="B3904" i="3"/>
  <c r="B1361" i="3"/>
  <c r="B1670" i="3"/>
  <c r="B3330" i="3"/>
  <c r="B1784" i="3"/>
  <c r="B4883" i="3"/>
  <c r="B5173" i="3"/>
  <c r="B4347" i="3"/>
  <c r="B156" i="3"/>
  <c r="B2656" i="3"/>
  <c r="B5163" i="3"/>
  <c r="B2628" i="3"/>
  <c r="B5290" i="3"/>
  <c r="B1190" i="3"/>
  <c r="B288" i="3"/>
  <c r="B2003" i="3"/>
  <c r="B5047" i="3"/>
  <c r="B4344" i="3"/>
  <c r="B5098" i="3"/>
  <c r="B160" i="3"/>
  <c r="B4959" i="3"/>
  <c r="B1068" i="3"/>
  <c r="B1561" i="3"/>
  <c r="B3780" i="3"/>
  <c r="B5254" i="3"/>
  <c r="B60" i="3"/>
  <c r="B5087" i="3"/>
  <c r="B28" i="3"/>
  <c r="B4580" i="3"/>
  <c r="B4956" i="3"/>
  <c r="B77" i="3"/>
  <c r="B563" i="3"/>
  <c r="B3326" i="3"/>
  <c r="B3182" i="3"/>
  <c r="B4718" i="3"/>
  <c r="B5078" i="3"/>
  <c r="B3810" i="3"/>
  <c r="B4679" i="3"/>
  <c r="B4459" i="3"/>
  <c r="B3516" i="3"/>
  <c r="B5006" i="3"/>
  <c r="B4468" i="3"/>
  <c r="B4553" i="3"/>
  <c r="B3325" i="3"/>
  <c r="B1492" i="3"/>
  <c r="B4803" i="3"/>
  <c r="B3817" i="3"/>
  <c r="B762" i="3"/>
  <c r="B4139" i="3"/>
  <c r="B5184" i="3"/>
  <c r="B3995" i="3"/>
  <c r="B1305" i="3"/>
  <c r="B4409" i="3"/>
  <c r="B671" i="3"/>
  <c r="B1844" i="3"/>
  <c r="B1568" i="3"/>
  <c r="B1544" i="3"/>
  <c r="B115" i="3"/>
  <c r="B5156" i="3"/>
  <c r="B4705" i="3"/>
  <c r="B4303" i="3"/>
  <c r="B5033" i="3"/>
  <c r="B461" i="3"/>
  <c r="B1440" i="3"/>
  <c r="B4610" i="3"/>
  <c r="B730" i="3"/>
  <c r="B2137" i="3"/>
  <c r="B2751" i="3"/>
  <c r="B916" i="3"/>
  <c r="B1696" i="3"/>
  <c r="B2550" i="3"/>
  <c r="B3374" i="3"/>
  <c r="B1020" i="3"/>
  <c r="B3947" i="3"/>
  <c r="B4164" i="3"/>
  <c r="B44" i="3"/>
  <c r="B770" i="3"/>
  <c r="B727" i="3"/>
  <c r="B943" i="3"/>
  <c r="B3072" i="3"/>
  <c r="B3763" i="3"/>
  <c r="B3368" i="3"/>
  <c r="B3643" i="3"/>
  <c r="B5187" i="3"/>
  <c r="B4702" i="3"/>
  <c r="B3127" i="3"/>
  <c r="B3116" i="3"/>
  <c r="B1220" i="3"/>
  <c r="B1713" i="3"/>
  <c r="B4902" i="3"/>
  <c r="B5105" i="3"/>
  <c r="B524" i="3"/>
  <c r="B4964" i="3"/>
  <c r="B4596" i="3"/>
  <c r="B131" i="3"/>
  <c r="B203" i="3"/>
  <c r="B1072" i="3"/>
  <c r="B3645" i="3"/>
  <c r="B5076" i="3"/>
  <c r="B3484" i="3"/>
  <c r="B1567" i="3"/>
  <c r="B4393" i="3"/>
  <c r="B1228" i="3"/>
  <c r="B3093" i="3"/>
  <c r="B2762" i="3"/>
  <c r="B2423" i="3"/>
  <c r="B2844" i="3"/>
  <c r="B4863" i="3"/>
  <c r="B2558" i="3"/>
  <c r="B4361" i="3"/>
  <c r="B5237" i="3"/>
  <c r="B2070" i="3"/>
  <c r="B385" i="3"/>
  <c r="B1186" i="3"/>
  <c r="B1464" i="3"/>
  <c r="B1666" i="3"/>
  <c r="B2910" i="3"/>
  <c r="B3771" i="3"/>
  <c r="B5166" i="3"/>
  <c r="B305" i="3"/>
  <c r="B5062" i="3"/>
  <c r="B4133" i="3"/>
  <c r="B4472" i="3"/>
  <c r="B3748" i="3"/>
  <c r="B4391" i="3"/>
  <c r="B4807" i="3"/>
  <c r="B4253" i="3"/>
  <c r="B803" i="3"/>
  <c r="B3260" i="3"/>
  <c r="B3279" i="3"/>
  <c r="B4088" i="3"/>
  <c r="B5225" i="3"/>
  <c r="B3988" i="3"/>
  <c r="B386" i="3"/>
  <c r="B4664" i="3"/>
  <c r="B32" i="3"/>
  <c r="B4649" i="3"/>
  <c r="B1747" i="3"/>
  <c r="B4187" i="3"/>
  <c r="B2831" i="3"/>
  <c r="B1467" i="3"/>
  <c r="B106" i="3"/>
  <c r="B3627" i="3"/>
  <c r="B5066" i="3"/>
  <c r="B462" i="3"/>
  <c r="B2117" i="3"/>
  <c r="B2198" i="3"/>
  <c r="B2748" i="3"/>
  <c r="B4582" i="3"/>
  <c r="B1637" i="3"/>
  <c r="B1465" i="3"/>
  <c r="B138" i="3"/>
  <c r="B3202" i="3"/>
  <c r="B1009" i="3"/>
  <c r="B3608" i="3"/>
  <c r="B3369" i="3"/>
  <c r="B4587" i="3"/>
  <c r="B4021" i="3"/>
  <c r="B4818" i="3"/>
  <c r="B5025" i="3"/>
  <c r="B2441" i="3"/>
  <c r="B2761" i="3"/>
  <c r="B2824" i="3"/>
  <c r="B2611" i="3"/>
  <c r="B2639" i="3"/>
  <c r="B3865" i="3"/>
  <c r="B4791" i="3"/>
  <c r="B1060" i="3"/>
  <c r="B4778" i="3"/>
  <c r="B2986" i="3"/>
  <c r="B1006" i="3"/>
  <c r="B1067" i="3"/>
  <c r="B438" i="3"/>
  <c r="B4878" i="3"/>
  <c r="B1046" i="3"/>
  <c r="B5035" i="3"/>
  <c r="B4676" i="3"/>
  <c r="B4833" i="3"/>
  <c r="B1565" i="3"/>
  <c r="B1086" i="3"/>
  <c r="B3793" i="3"/>
  <c r="B1534" i="3"/>
  <c r="B3766" i="3"/>
  <c r="B1056" i="3"/>
  <c r="B2610" i="3"/>
  <c r="B1634" i="3"/>
  <c r="B3225" i="3"/>
  <c r="B3783" i="3"/>
  <c r="B2678" i="3"/>
  <c r="B4656" i="3"/>
  <c r="B1055" i="3"/>
  <c r="B3331" i="3"/>
  <c r="B1818" i="3"/>
  <c r="B5052" i="3"/>
  <c r="B20" i="3"/>
  <c r="B3486" i="3"/>
  <c r="B4229" i="3"/>
  <c r="B2919" i="3"/>
  <c r="B1638" i="3"/>
  <c r="B2141" i="3"/>
  <c r="B2154" i="3"/>
  <c r="B4282" i="3"/>
  <c r="B2828" i="3"/>
  <c r="B3166" i="3"/>
  <c r="B2582" i="3"/>
  <c r="B2521" i="3"/>
  <c r="B2641" i="3"/>
  <c r="B2869" i="3"/>
  <c r="B1791" i="3"/>
  <c r="B5200" i="3"/>
  <c r="B3969" i="3"/>
  <c r="B2779" i="3"/>
  <c r="B597" i="3"/>
  <c r="B4967" i="3"/>
  <c r="B3097" i="3"/>
  <c r="B3734" i="3"/>
  <c r="B1510" i="3"/>
  <c r="B536" i="3"/>
  <c r="B4658" i="3"/>
  <c r="B4913" i="3"/>
  <c r="B3951" i="3"/>
  <c r="B1830" i="3"/>
  <c r="B4566" i="3"/>
  <c r="B5100" i="3"/>
  <c r="B1733" i="3"/>
  <c r="B1581" i="3"/>
  <c r="B728" i="3"/>
  <c r="B2701" i="3"/>
  <c r="B2581" i="3"/>
  <c r="B1877" i="3"/>
  <c r="B5119" i="3"/>
  <c r="B4687" i="3"/>
  <c r="B2600" i="3"/>
  <c r="B1402" i="3"/>
  <c r="B5051" i="3"/>
  <c r="B1908" i="3"/>
  <c r="B4334" i="3"/>
  <c r="B3257" i="3"/>
  <c r="B4395" i="3"/>
  <c r="B3228" i="3"/>
  <c r="B4106" i="3"/>
  <c r="B3045" i="3"/>
  <c r="B4279" i="3"/>
  <c r="B5211" i="3"/>
  <c r="B2591" i="3"/>
  <c r="B1519" i="3"/>
  <c r="B4190" i="3"/>
  <c r="B36" i="3"/>
  <c r="B5031" i="3"/>
  <c r="B1049" i="3"/>
  <c r="B5278" i="3"/>
  <c r="B1872" i="3"/>
  <c r="B40" i="3"/>
  <c r="B574" i="3"/>
  <c r="B4346" i="3"/>
  <c r="B1035" i="3"/>
  <c r="B4117" i="3"/>
  <c r="B4360" i="3"/>
  <c r="B46" i="3"/>
  <c r="B1536" i="3"/>
  <c r="B4081" i="3"/>
  <c r="B4715" i="3"/>
  <c r="B4215" i="3"/>
  <c r="B2142" i="3"/>
  <c r="B4887" i="3"/>
  <c r="B3531" i="3"/>
  <c r="B2158" i="3"/>
  <c r="B2836" i="3"/>
  <c r="B4635" i="3"/>
  <c r="B2649" i="3"/>
  <c r="B4227" i="3"/>
  <c r="B1763" i="3"/>
  <c r="B4636" i="3"/>
  <c r="B4544" i="3"/>
  <c r="B3818" i="3"/>
  <c r="B3235" i="3"/>
  <c r="B3716" i="3"/>
  <c r="B4717" i="3"/>
  <c r="B1886" i="3"/>
  <c r="B4801" i="3"/>
  <c r="B3004" i="3"/>
  <c r="B4064" i="3"/>
  <c r="B4226" i="3"/>
  <c r="B1451" i="3"/>
  <c r="B2797" i="3"/>
  <c r="B1535" i="3"/>
  <c r="B361" i="3"/>
  <c r="B3533" i="3"/>
  <c r="B1010" i="3"/>
  <c r="B3935" i="3"/>
  <c r="B2535" i="3"/>
  <c r="B1641" i="3"/>
  <c r="B265" i="3"/>
  <c r="B2525" i="3"/>
  <c r="B104" i="3"/>
  <c r="B4937" i="3"/>
  <c r="B4589" i="3"/>
  <c r="B5182" i="3"/>
  <c r="B2871" i="3"/>
  <c r="B4975" i="3"/>
  <c r="B3757" i="3"/>
  <c r="B685" i="3"/>
  <c r="B4760" i="3"/>
  <c r="B3854" i="3"/>
  <c r="B2254" i="3"/>
  <c r="B2629" i="3"/>
  <c r="B1731" i="3"/>
  <c r="B4144" i="3"/>
  <c r="B2585" i="3"/>
  <c r="B5209" i="3"/>
  <c r="B4307" i="3"/>
  <c r="B3924" i="3"/>
  <c r="B3800" i="3"/>
  <c r="B399" i="3"/>
  <c r="B5043" i="3"/>
  <c r="B2862" i="3"/>
  <c r="B1023" i="3"/>
  <c r="B3505" i="3"/>
  <c r="B3380" i="3"/>
  <c r="B3301" i="3"/>
  <c r="B4932" i="3"/>
  <c r="B1033" i="3"/>
  <c r="B5224" i="3"/>
  <c r="B923" i="3"/>
  <c r="B475" i="3"/>
  <c r="B3218" i="3"/>
  <c r="B2728" i="3"/>
  <c r="B4172" i="3"/>
  <c r="B1166" i="3"/>
  <c r="B3185" i="3"/>
  <c r="B68" i="3"/>
  <c r="B1850" i="3"/>
  <c r="B1504" i="3"/>
  <c r="B4641" i="3"/>
  <c r="B3400" i="3"/>
  <c r="B1587" i="3"/>
  <c r="B527" i="3"/>
  <c r="B1976" i="3"/>
  <c r="B4985" i="3"/>
  <c r="B3491" i="3"/>
  <c r="B7" i="3"/>
  <c r="B199" i="3"/>
  <c r="B4922" i="3"/>
  <c r="B761" i="3"/>
  <c r="B4440" i="3"/>
  <c r="B4423" i="3"/>
  <c r="B4241" i="3"/>
  <c r="B3527" i="3"/>
  <c r="B2853" i="3"/>
  <c r="B5201" i="3"/>
  <c r="B1655" i="3"/>
  <c r="B2792" i="3"/>
  <c r="B457" i="3"/>
  <c r="B1605" i="3"/>
  <c r="B1034" i="3"/>
  <c r="B4729" i="3"/>
  <c r="B1704" i="3"/>
  <c r="B757" i="3"/>
  <c r="B1644" i="3"/>
  <c r="B1815" i="3"/>
  <c r="B4869" i="3"/>
  <c r="B2164" i="3"/>
  <c r="B2577" i="3"/>
  <c r="B1538" i="3"/>
  <c r="B1373" i="3"/>
  <c r="B3694" i="3"/>
  <c r="B4434" i="3"/>
  <c r="B145" i="3"/>
  <c r="B4054" i="3"/>
  <c r="B4909" i="3"/>
  <c r="B5123" i="3"/>
  <c r="B4520" i="3"/>
  <c r="B3370" i="3"/>
  <c r="B3722" i="3"/>
  <c r="B4560" i="3"/>
  <c r="B2942" i="3"/>
  <c r="B3728" i="3"/>
  <c r="B3633" i="3"/>
  <c r="B4046" i="3"/>
  <c r="B4149" i="3"/>
  <c r="B2587" i="3"/>
  <c r="B4657" i="3"/>
  <c r="B3845" i="3"/>
  <c r="B4519" i="3"/>
  <c r="B4651" i="3"/>
  <c r="B157" i="3"/>
  <c r="B4406" i="3"/>
  <c r="B4461" i="3"/>
  <c r="B1612" i="3"/>
  <c r="B1242" i="3"/>
  <c r="B88" i="3"/>
  <c r="B525" i="3"/>
  <c r="B528" i="3"/>
  <c r="B794" i="3"/>
  <c r="B2439" i="3"/>
  <c r="B245" i="3"/>
  <c r="B72" i="3"/>
  <c r="B5028" i="3"/>
  <c r="B4267" i="3"/>
  <c r="B1215" i="3"/>
  <c r="B4764" i="3"/>
  <c r="B5095" i="3"/>
  <c r="B986" i="3"/>
  <c r="B4419" i="3"/>
  <c r="B4935" i="3"/>
  <c r="B1910" i="3"/>
  <c r="B1928" i="3"/>
  <c r="B4569" i="3"/>
  <c r="B237" i="3"/>
  <c r="B4800" i="3"/>
  <c r="B2377" i="3"/>
  <c r="B2033" i="3"/>
  <c r="B353" i="3"/>
  <c r="B1894" i="3"/>
  <c r="B1019" i="3"/>
  <c r="B3550" i="3"/>
  <c r="B3896" i="3"/>
  <c r="B4561" i="3"/>
  <c r="B3814" i="3"/>
  <c r="B3524" i="3"/>
  <c r="B3669" i="3"/>
  <c r="B3008" i="3"/>
  <c r="B5120" i="3"/>
  <c r="B509" i="3"/>
  <c r="B1090" i="3"/>
  <c r="B343" i="3"/>
  <c r="B4090" i="3"/>
  <c r="B4857" i="3"/>
  <c r="B4405" i="3"/>
  <c r="B773" i="3"/>
  <c r="B4783" i="3"/>
  <c r="B4621" i="3"/>
  <c r="B2130" i="3"/>
  <c r="B2145" i="3"/>
  <c r="B4475" i="3"/>
  <c r="B2872" i="3"/>
  <c r="B5073" i="3"/>
  <c r="B3803" i="3"/>
  <c r="B3117" i="3"/>
  <c r="B3075" i="3"/>
  <c r="B2500" i="3"/>
  <c r="B3506" i="3"/>
  <c r="B2946" i="3"/>
  <c r="B5020" i="3"/>
  <c r="B1257" i="3"/>
  <c r="B4329" i="3"/>
  <c r="B3286" i="3"/>
  <c r="B2665" i="3"/>
  <c r="B1306" i="3"/>
  <c r="B2429" i="3"/>
  <c r="B2406" i="3"/>
  <c r="B1709" i="3"/>
  <c r="B2428" i="3"/>
  <c r="B3668" i="3"/>
  <c r="B1123" i="3"/>
  <c r="B3859" i="3"/>
  <c r="B2682" i="3"/>
  <c r="B4182" i="3"/>
  <c r="B2483" i="3"/>
  <c r="B1176" i="3"/>
  <c r="B273" i="3"/>
  <c r="B2555" i="3"/>
  <c r="B3183" i="3"/>
  <c r="B4408" i="3"/>
  <c r="B447" i="3"/>
  <c r="B3194" i="3"/>
  <c r="B2434" i="3"/>
  <c r="B1074" i="3"/>
  <c r="B5122" i="3"/>
  <c r="B860" i="3"/>
  <c r="B3989" i="3"/>
  <c r="B215" i="3"/>
  <c r="B589" i="3"/>
  <c r="B4573" i="3"/>
  <c r="B1038" i="3"/>
  <c r="B5042" i="3"/>
  <c r="B202" i="3"/>
  <c r="B4168" i="3"/>
  <c r="B4608" i="3"/>
  <c r="B4484" i="3"/>
  <c r="B3670" i="3"/>
  <c r="B1600" i="3"/>
  <c r="B1790" i="3"/>
  <c r="B3412" i="3"/>
  <c r="B5004" i="3"/>
  <c r="B3156" i="3"/>
  <c r="B4538" i="3"/>
  <c r="B3052" i="3"/>
  <c r="B2200" i="3"/>
  <c r="B4557" i="3"/>
  <c r="B1616" i="3"/>
  <c r="B4209" i="3"/>
  <c r="B3707" i="3"/>
  <c r="B2506" i="3"/>
  <c r="B3168" i="3"/>
  <c r="B3087" i="3"/>
  <c r="B2789" i="3"/>
  <c r="B4342" i="3"/>
  <c r="B5055" i="3"/>
  <c r="B4619" i="3"/>
  <c r="B4273" i="3"/>
  <c r="B4958" i="3"/>
  <c r="B4835" i="3"/>
  <c r="B4163" i="3"/>
  <c r="B4710" i="3"/>
  <c r="B3573" i="3"/>
  <c r="B4379" i="3"/>
  <c r="B1780" i="3"/>
  <c r="B1847" i="3"/>
  <c r="B4529" i="3"/>
  <c r="B4301" i="3"/>
  <c r="B4039" i="3"/>
  <c r="B1377" i="3"/>
  <c r="B952" i="3"/>
  <c r="B2734" i="3"/>
  <c r="B3981" i="3"/>
  <c r="B4488" i="3"/>
  <c r="B5109" i="3"/>
  <c r="B648" i="3"/>
  <c r="B2455" i="3"/>
  <c r="B1749" i="3"/>
  <c r="B111" i="3"/>
  <c r="B1636" i="3"/>
  <c r="B3104" i="3"/>
  <c r="B5127" i="3"/>
  <c r="B1223" i="3"/>
  <c r="B2101" i="3"/>
  <c r="B3967" i="3"/>
  <c r="B1635" i="3"/>
  <c r="B4407" i="3"/>
  <c r="B3710" i="3"/>
  <c r="B4072" i="3"/>
  <c r="B4296" i="3"/>
  <c r="B2018" i="3"/>
  <c r="B5108" i="3"/>
  <c r="B4531" i="3"/>
  <c r="B4787" i="3"/>
  <c r="B5019" i="3"/>
  <c r="B2501" i="3"/>
  <c r="B3860" i="3"/>
  <c r="B1803" i="3"/>
  <c r="B3470" i="3"/>
  <c r="B2922" i="3"/>
  <c r="B1425" i="3"/>
  <c r="B2893" i="3"/>
  <c r="B1410" i="3"/>
  <c r="B5058" i="3"/>
  <c r="B4965" i="3"/>
  <c r="B2099" i="3"/>
  <c r="B4762" i="3"/>
  <c r="B872" i="3"/>
  <c r="B4796" i="3"/>
  <c r="B2603" i="3"/>
  <c r="B4751" i="3"/>
  <c r="B4075" i="3"/>
  <c r="B3886" i="3"/>
  <c r="B2985" i="3"/>
  <c r="B982" i="3"/>
  <c r="B242" i="3"/>
  <c r="B3303" i="3"/>
  <c r="B4256" i="3"/>
  <c r="B830" i="3"/>
  <c r="B291" i="3"/>
  <c r="B3864" i="3"/>
  <c r="B4335" i="3"/>
  <c r="B4150" i="3"/>
  <c r="B5149" i="3"/>
  <c r="B4571" i="3"/>
  <c r="B4142" i="3"/>
  <c r="B3379" i="3"/>
  <c r="B1717" i="3"/>
  <c r="B259" i="3"/>
  <c r="B392" i="3"/>
  <c r="B2470" i="3"/>
  <c r="B2279" i="3"/>
  <c r="B5007" i="3"/>
  <c r="B2620" i="3"/>
  <c r="B4141" i="3"/>
  <c r="B3990" i="3"/>
  <c r="B3403" i="3"/>
  <c r="B3992" i="3"/>
  <c r="B4394" i="3"/>
  <c r="B5249" i="3"/>
  <c r="B2952" i="3"/>
  <c r="B2989" i="3"/>
  <c r="B2576" i="3"/>
  <c r="B2391" i="3"/>
  <c r="B1869" i="3"/>
  <c r="B4677" i="3"/>
  <c r="B4277" i="3"/>
  <c r="B3822" i="3"/>
  <c r="B4997" i="3"/>
  <c r="B4786" i="3"/>
  <c r="B4155" i="3"/>
  <c r="B4704" i="3"/>
  <c r="B4820" i="3"/>
  <c r="B4299" i="3"/>
  <c r="B3804" i="3"/>
  <c r="B1884" i="3"/>
  <c r="B5268" i="3"/>
  <c r="B3844" i="3"/>
  <c r="B4074" i="3"/>
  <c r="B4805" i="3"/>
  <c r="B4138" i="3"/>
  <c r="B2696" i="3"/>
  <c r="B4349" i="3"/>
  <c r="B1556" i="3"/>
  <c r="B4697" i="3"/>
  <c r="B264" i="3"/>
  <c r="B3333" i="3"/>
  <c r="B5049" i="3"/>
  <c r="B1606" i="3"/>
  <c r="B2997" i="3"/>
  <c r="B191" i="3"/>
  <c r="B3959" i="3"/>
  <c r="B4988" i="3"/>
  <c r="B4537" i="3"/>
  <c r="B1097" i="3"/>
  <c r="B2128" i="3"/>
  <c r="B4598" i="3"/>
  <c r="B4866" i="3"/>
  <c r="B4911" i="3"/>
  <c r="B5015" i="3"/>
  <c r="B58" i="3"/>
  <c r="B4675" i="3"/>
  <c r="B3134" i="3"/>
  <c r="B2516" i="3"/>
  <c r="B1316" i="3"/>
  <c r="B5264" i="3"/>
  <c r="B4220" i="3"/>
  <c r="B4856" i="3"/>
  <c r="B565" i="3"/>
  <c r="B4154" i="3"/>
  <c r="B2212" i="3"/>
  <c r="B3172" i="3"/>
  <c r="B1783" i="3"/>
  <c r="B5102" i="3"/>
  <c r="B1218" i="3"/>
  <c r="B2009" i="3"/>
  <c r="B5309" i="3"/>
  <c r="B4274" i="3"/>
  <c r="B4192" i="3"/>
  <c r="B3866" i="3"/>
  <c r="B497" i="3"/>
  <c r="B5016" i="3"/>
  <c r="B3084" i="3"/>
  <c r="B492" i="3"/>
  <c r="B548" i="3"/>
  <c r="B5226" i="3"/>
  <c r="B3230" i="3"/>
  <c r="B4603" i="3"/>
  <c r="B4373" i="3"/>
  <c r="B2522" i="3"/>
  <c r="B3891" i="3"/>
  <c r="B2183" i="3"/>
  <c r="B2605" i="3"/>
  <c r="B2606" i="3"/>
  <c r="B3064" i="3"/>
  <c r="B1667" i="3"/>
  <c r="B4218" i="3"/>
  <c r="B98" i="3"/>
  <c r="B5199" i="3"/>
  <c r="B137" i="3"/>
  <c r="B4897" i="3"/>
  <c r="B5129" i="3"/>
  <c r="B627" i="3"/>
  <c r="B2178" i="3"/>
  <c r="B3852" i="3"/>
  <c r="B3599" i="3"/>
  <c r="B3970" i="3"/>
  <c r="B3754" i="3"/>
  <c r="B4372" i="3"/>
  <c r="B5188" i="3"/>
  <c r="B4849" i="3"/>
  <c r="B4823" i="3"/>
  <c r="B3112" i="3"/>
  <c r="B2039" i="3"/>
  <c r="B3767" i="3"/>
  <c r="B5048" i="3"/>
  <c r="B3192" i="3"/>
  <c r="B4430" i="3"/>
  <c r="B4540" i="3"/>
  <c r="B4979" i="3"/>
  <c r="B5067" i="3"/>
  <c r="B4663" i="3"/>
  <c r="B4198" i="3"/>
  <c r="B790" i="3"/>
  <c r="B4686" i="3"/>
  <c r="B4392" i="3"/>
  <c r="B4638" i="3"/>
  <c r="B4522" i="3"/>
  <c r="B4926" i="3"/>
  <c r="B3806" i="3"/>
  <c r="B4731" i="3"/>
  <c r="B4572" i="3"/>
  <c r="B347" i="3"/>
  <c r="B4121" i="3"/>
  <c r="B3321" i="3"/>
  <c r="B4469" i="3"/>
  <c r="B4855" i="3"/>
  <c r="B3971" i="3"/>
  <c r="B3740" i="3"/>
  <c r="B2020" i="3"/>
  <c r="B2486" i="3"/>
  <c r="B1404" i="3"/>
  <c r="B1399" i="3"/>
  <c r="B1863" i="3"/>
  <c r="B5273" i="3"/>
  <c r="B3297" i="3"/>
  <c r="B4504" i="3"/>
  <c r="B4886" i="3"/>
  <c r="B5086" i="3"/>
  <c r="B1658" i="3"/>
  <c r="B1647" i="3"/>
  <c r="B4281" i="3"/>
  <c r="B5198" i="3"/>
  <c r="B2926" i="3"/>
  <c r="B4858" i="3"/>
  <c r="B814" i="3"/>
  <c r="B1671" i="3"/>
  <c r="B1753" i="3"/>
  <c r="B4642" i="3"/>
  <c r="B1584" i="3"/>
  <c r="B5177" i="3"/>
  <c r="B1820" i="3"/>
  <c r="B1963" i="3"/>
  <c r="B4184" i="3"/>
  <c r="B1839" i="3"/>
  <c r="B5040" i="3"/>
  <c r="B1274" i="3"/>
  <c r="B4497" i="3"/>
  <c r="B5232" i="3"/>
  <c r="B4313" i="3"/>
  <c r="B3069" i="3"/>
  <c r="B4966" i="3"/>
  <c r="B3680" i="3"/>
  <c r="B2236" i="3"/>
  <c r="B3994" i="3"/>
  <c r="B5074" i="3"/>
  <c r="B5174" i="3"/>
  <c r="B5234" i="3"/>
  <c r="B4232" i="3"/>
  <c r="B1686" i="3"/>
  <c r="B1663" i="3"/>
  <c r="B4148" i="3"/>
  <c r="B23" i="3"/>
  <c r="B1618" i="3"/>
  <c r="B3952" i="3"/>
  <c r="B5069" i="3"/>
  <c r="B1727" i="3"/>
  <c r="B2646" i="3"/>
  <c r="B4200" i="3"/>
  <c r="B2799" i="3"/>
  <c r="B1660" i="3"/>
  <c r="B4533" i="3"/>
  <c r="B1344" i="3"/>
  <c r="B1620" i="3"/>
  <c r="B4936" i="3"/>
  <c r="B3976" i="3"/>
  <c r="B5176" i="3"/>
  <c r="B875" i="3"/>
  <c r="B3521" i="3"/>
  <c r="B4240" i="3"/>
  <c r="B1351" i="3"/>
  <c r="B480" i="3"/>
  <c r="B4067" i="3"/>
  <c r="B2197" i="3"/>
  <c r="B4330" i="3"/>
  <c r="B5089" i="3"/>
  <c r="B4868" i="3"/>
  <c r="B4518" i="3"/>
  <c r="B2061" i="3"/>
  <c r="B4284" i="3"/>
  <c r="B3743" i="3"/>
  <c r="B5114" i="3"/>
  <c r="B2412" i="3"/>
  <c r="B4908" i="3"/>
  <c r="B1807" i="3"/>
  <c r="B1657" i="3"/>
  <c r="B4302" i="3"/>
  <c r="B4812" i="3"/>
  <c r="B3768" i="3"/>
  <c r="B4185" i="3"/>
  <c r="B2846" i="3"/>
  <c r="B3269" i="3"/>
  <c r="B3328" i="3"/>
  <c r="B4906" i="3"/>
  <c r="B1669" i="3"/>
  <c r="B715" i="3"/>
  <c r="B1679" i="3"/>
  <c r="B4695" i="3"/>
  <c r="B1843" i="3"/>
  <c r="B5223" i="3"/>
  <c r="B3061" i="3"/>
  <c r="B4414" i="3"/>
  <c r="B4961" i="3"/>
  <c r="B4918" i="3"/>
  <c r="B5032" i="3"/>
  <c r="B4545" i="3"/>
  <c r="B3993" i="3"/>
  <c r="B612" i="3"/>
  <c r="B53" i="3"/>
  <c r="B54" i="3"/>
  <c r="B4851" i="3"/>
  <c r="B4114" i="3"/>
  <c r="B5107" i="3"/>
  <c r="B4333" i="3"/>
  <c r="B3792" i="3"/>
  <c r="B4678" i="3"/>
  <c r="B4916" i="3"/>
  <c r="B2194" i="3"/>
  <c r="B2755" i="3"/>
  <c r="B3467" i="3"/>
  <c r="B3772" i="3"/>
  <c r="B2165" i="3"/>
  <c r="B2821" i="3"/>
  <c r="B3756" i="3"/>
  <c r="B1199" i="3"/>
  <c r="B2774" i="3"/>
  <c r="B258" i="3"/>
  <c r="B4366" i="3"/>
  <c r="B1759" i="3"/>
  <c r="B155" i="3"/>
  <c r="B1335" i="3"/>
  <c r="B1103" i="3"/>
  <c r="B4521" i="3"/>
  <c r="B2160" i="3"/>
  <c r="B3873" i="3"/>
  <c r="B4481" i="3"/>
  <c r="B294" i="3"/>
  <c r="B2820" i="3"/>
  <c r="B429" i="3"/>
  <c r="B2720" i="3"/>
  <c r="B4703" i="3"/>
  <c r="B3759" i="3"/>
  <c r="B2887" i="3"/>
  <c r="B2730" i="3"/>
  <c r="B3244" i="3"/>
  <c r="B506" i="3"/>
  <c r="B1720" i="3"/>
  <c r="B4421" i="3"/>
  <c r="B1891" i="3"/>
  <c r="B1775" i="3"/>
  <c r="B3035" i="3"/>
  <c r="B5186" i="3"/>
  <c r="B4425" i="3"/>
  <c r="B5064" i="3"/>
  <c r="B903" i="3"/>
  <c r="B4744" i="3"/>
  <c r="B2648" i="3"/>
  <c r="B1799" i="3"/>
  <c r="B4183" i="3"/>
  <c r="B4799" i="3"/>
  <c r="B4052" i="3"/>
  <c r="B3784" i="3"/>
  <c r="B4474" i="3"/>
  <c r="B3798" i="3"/>
  <c r="B263" i="3"/>
  <c r="B4327" i="3"/>
  <c r="B3345" i="3"/>
  <c r="B3889" i="3"/>
  <c r="B4325" i="3"/>
  <c r="B4207" i="3"/>
  <c r="B3894" i="3"/>
  <c r="B3115" i="3"/>
  <c r="B2811" i="3"/>
  <c r="B1515" i="3"/>
  <c r="B3300" i="3"/>
  <c r="B5169" i="3"/>
  <c r="B4427" i="3"/>
  <c r="B4097" i="3"/>
  <c r="B3494" i="3"/>
  <c r="B5257" i="3"/>
  <c r="B4981" i="3"/>
  <c r="B3363" i="3"/>
  <c r="B549" i="3"/>
  <c r="B1395" i="3"/>
  <c r="B4509" i="3"/>
  <c r="B3027" i="3"/>
  <c r="B5192" i="3"/>
  <c r="B4369" i="3"/>
  <c r="B5172" i="3"/>
  <c r="B2163" i="3"/>
  <c r="B4233" i="3"/>
  <c r="B3892" i="3"/>
  <c r="B3322" i="3"/>
  <c r="B4217" i="3"/>
  <c r="B3741" i="3"/>
  <c r="B3476" i="3"/>
  <c r="B5080" i="3"/>
  <c r="B3073" i="3"/>
  <c r="B4082" i="3"/>
  <c r="B3775" i="3"/>
  <c r="B2398" i="3"/>
  <c r="B3888" i="3"/>
  <c r="B3943" i="3"/>
  <c r="B1472" i="3"/>
  <c r="B3039" i="3"/>
  <c r="B4616" i="3"/>
  <c r="B1167" i="3"/>
  <c r="B650" i="3"/>
  <c r="B454" i="3"/>
  <c r="B1069" i="3"/>
  <c r="B5134" i="3"/>
  <c r="B4860" i="3"/>
  <c r="B4061" i="3"/>
  <c r="B1915" i="3"/>
  <c r="B4495" i="3"/>
  <c r="B4925" i="3"/>
  <c r="B4383" i="3"/>
  <c r="B4748" i="3"/>
  <c r="B5147" i="3"/>
  <c r="B4753" i="3"/>
  <c r="B1792" i="3"/>
  <c r="B2742" i="3"/>
  <c r="B2368" i="3"/>
  <c r="B4093" i="3"/>
  <c r="B4929" i="3"/>
  <c r="B5150" i="3"/>
  <c r="B5305" i="3"/>
  <c r="B3351" i="3"/>
  <c r="B311" i="3"/>
  <c r="B4009" i="3"/>
  <c r="B4507" i="3"/>
  <c r="B5218" i="3"/>
  <c r="B5261" i="3"/>
  <c r="B3199" i="3"/>
  <c r="B3348" i="3"/>
  <c r="B4247" i="3"/>
  <c r="B2136" i="3"/>
  <c r="B892" i="3"/>
  <c r="B3094" i="3"/>
  <c r="B63" i="3"/>
  <c r="B4224" i="3"/>
  <c r="B4628" i="3"/>
  <c r="B3779" i="3"/>
  <c r="B4176" i="3"/>
  <c r="B2062" i="3"/>
  <c r="B4885" i="3"/>
  <c r="B1895" i="3"/>
  <c r="B3526" i="3"/>
  <c r="B990" i="3"/>
  <c r="B4482" i="3"/>
  <c r="B977" i="3"/>
  <c r="B4968" i="3"/>
  <c r="B346" i="3"/>
  <c r="B4698" i="3"/>
  <c r="B404" i="3"/>
  <c r="B4797" i="3"/>
  <c r="B4171" i="3"/>
  <c r="B4230" i="3"/>
  <c r="B4590" i="3"/>
  <c r="B5023" i="3"/>
  <c r="B2051" i="3"/>
  <c r="B3497" i="3"/>
  <c r="B3703" i="3"/>
  <c r="B2927" i="3"/>
  <c r="B2896" i="3"/>
  <c r="B4633" i="3"/>
  <c r="B4213" i="3"/>
  <c r="B4269" i="3"/>
  <c r="B4742" i="3"/>
  <c r="B4326" i="3"/>
  <c r="B1627" i="3"/>
  <c r="B1729" i="3"/>
  <c r="B5151" i="3"/>
  <c r="B1507" i="3"/>
  <c r="B4511" i="3"/>
  <c r="B4832" i="3"/>
  <c r="B3898" i="3"/>
  <c r="B662" i="3"/>
  <c r="B5143" i="3"/>
  <c r="B3316" i="3"/>
  <c r="B4978" i="3"/>
  <c r="B1066" i="3"/>
  <c r="B4266" i="3"/>
  <c r="B2393" i="3"/>
  <c r="B5138" i="3"/>
  <c r="B4927" i="3"/>
  <c r="B4100" i="3"/>
  <c r="B3626" i="3"/>
  <c r="B301" i="3"/>
  <c r="B5210" i="3"/>
  <c r="B380" i="3"/>
  <c r="B4381" i="3"/>
  <c r="B660" i="3"/>
  <c r="B2415" i="3"/>
  <c r="B3687" i="3"/>
  <c r="B3037" i="3"/>
  <c r="B3980" i="3"/>
  <c r="B4221" i="3"/>
  <c r="B4757" i="3"/>
  <c r="B1339" i="3"/>
  <c r="B4634" i="3"/>
  <c r="B5146" i="3"/>
  <c r="B39" i="3"/>
  <c r="B2753" i="3"/>
  <c r="B3295" i="3"/>
  <c r="B2113" i="3"/>
  <c r="B4539" i="3"/>
  <c r="B3496" i="3"/>
  <c r="B2090" i="3"/>
  <c r="B2093" i="3"/>
  <c r="B5111" i="3"/>
  <c r="B2503" i="3"/>
  <c r="B1819" i="3"/>
  <c r="B3233" i="3"/>
  <c r="B4506" i="3"/>
  <c r="B3857" i="3"/>
  <c r="B4294" i="3"/>
  <c r="B3265" i="3"/>
  <c r="B844" i="3"/>
  <c r="B5155" i="3"/>
  <c r="B3625" i="3"/>
  <c r="B1107" i="3"/>
  <c r="B4706" i="3"/>
  <c r="B4396" i="3"/>
  <c r="B4543" i="3"/>
  <c r="B2019" i="3"/>
  <c r="B3978" i="3"/>
  <c r="B4766" i="3"/>
  <c r="B600" i="3"/>
  <c r="B4759" i="3"/>
  <c r="B2945" i="3"/>
  <c r="B2626" i="3"/>
  <c r="B2879" i="3"/>
  <c r="B2283" i="3"/>
  <c r="B4005" i="3"/>
  <c r="B1142" i="3"/>
  <c r="B167" i="3"/>
  <c r="B4602" i="3"/>
  <c r="B4403" i="3"/>
  <c r="B3770" i="3"/>
  <c r="B1845" i="3"/>
  <c r="B4012" i="3"/>
  <c r="B4536" i="3"/>
  <c r="B4600" i="3"/>
  <c r="B3402" i="3"/>
  <c r="B4044" i="3"/>
  <c r="B235" i="3"/>
  <c r="B1672" i="3"/>
  <c r="B882" i="3"/>
  <c r="B842" i="3"/>
  <c r="B3324" i="3"/>
  <c r="B2088" i="3"/>
  <c r="B4585" i="3"/>
  <c r="B1814" i="3"/>
  <c r="B70" i="3"/>
  <c r="B5013" i="3"/>
  <c r="B4848" i="3"/>
  <c r="B2054" i="3"/>
  <c r="B4821" i="3"/>
  <c r="B4471" i="3"/>
  <c r="B4378" i="3"/>
  <c r="B4458" i="3"/>
  <c r="B2683" i="3"/>
  <c r="B5231" i="3"/>
  <c r="B5061" i="3"/>
  <c r="B5263" i="3"/>
  <c r="B4689" i="3"/>
  <c r="B3393" i="3"/>
  <c r="B4921" i="3"/>
  <c r="B4191" i="3"/>
  <c r="B3675" i="3"/>
  <c r="B4371" i="3"/>
  <c r="B4893" i="3"/>
  <c r="B3347" i="3"/>
  <c r="B1736" i="3"/>
  <c r="B4380" i="3"/>
  <c r="B4343" i="3"/>
  <c r="B3512" i="3"/>
  <c r="B3139" i="3"/>
  <c r="B3015" i="3"/>
  <c r="B3014" i="3"/>
  <c r="B4713" i="3"/>
  <c r="B3147" i="3"/>
  <c r="B2983" i="3"/>
  <c r="B3953" i="3"/>
  <c r="B972" i="3"/>
  <c r="B5251" i="3"/>
  <c r="B2205" i="3"/>
  <c r="B96" i="3"/>
  <c r="B2204" i="3"/>
  <c r="B3957" i="3"/>
  <c r="B869" i="3"/>
  <c r="B3574" i="3"/>
  <c r="B975" i="3"/>
  <c r="B1371" i="3"/>
  <c r="B3918" i="3"/>
  <c r="B3796" i="3"/>
  <c r="B4659" i="3"/>
  <c r="B2208" i="3"/>
  <c r="B3877" i="3"/>
  <c r="B3712" i="3"/>
  <c r="B3882" i="3"/>
  <c r="B3880" i="3"/>
  <c r="B2245" i="3"/>
  <c r="B5303" i="3"/>
  <c r="B2224" i="3"/>
  <c r="B763" i="3"/>
  <c r="B4356" i="3"/>
  <c r="B3253" i="3"/>
  <c r="B47" i="3"/>
  <c r="B934" i="3"/>
  <c r="B2386" i="3"/>
  <c r="B1224" i="3"/>
  <c r="B3346" i="3"/>
  <c r="B1333" i="3"/>
  <c r="B3461" i="3"/>
  <c r="B421" i="3"/>
  <c r="B2700" i="3"/>
  <c r="B2564" i="3"/>
  <c r="B2736" i="3"/>
  <c r="B3076" i="3"/>
  <c r="B4043" i="3"/>
  <c r="B2363" i="3"/>
  <c r="B2875" i="3"/>
  <c r="B3831" i="3"/>
  <c r="B2856" i="3"/>
  <c r="B2127" i="3"/>
  <c r="B2549" i="3"/>
  <c r="B1137" i="3"/>
  <c r="B2110" i="3"/>
  <c r="B950" i="3"/>
  <c r="B1998" i="3"/>
  <c r="B962" i="3"/>
  <c r="B369" i="3"/>
  <c r="B249" i="3"/>
  <c r="B1965" i="3"/>
  <c r="B1292" i="3"/>
  <c r="B3481" i="3"/>
  <c r="B3049" i="3"/>
  <c r="B224" i="3"/>
  <c r="B2411" i="3"/>
  <c r="B2390" i="3"/>
  <c r="B2670" i="3"/>
  <c r="B3030" i="3"/>
  <c r="B594" i="3"/>
  <c r="B3730" i="3"/>
  <c r="B2775" i="3"/>
  <c r="B3248" i="3"/>
  <c r="B3002" i="3"/>
  <c r="B3408" i="3"/>
  <c r="B2647" i="3"/>
  <c r="B1714" i="3"/>
  <c r="B2451" i="3"/>
  <c r="B835" i="3"/>
  <c r="B1052" i="3"/>
  <c r="B1350" i="3"/>
  <c r="B1378" i="3"/>
  <c r="B985" i="3"/>
  <c r="B1355" i="3"/>
  <c r="B3922" i="3"/>
  <c r="B3958" i="3"/>
  <c r="B3569" i="3"/>
  <c r="B1506" i="3"/>
  <c r="B1450" i="3"/>
  <c r="B2266" i="3"/>
  <c r="B2702" i="3"/>
  <c r="B2169" i="3"/>
  <c r="B2319" i="3"/>
  <c r="B424" i="3"/>
  <c r="B3417" i="3"/>
  <c r="B2269" i="3"/>
  <c r="B3727" i="3"/>
  <c r="B3487" i="3"/>
  <c r="B2619" i="3"/>
  <c r="B3447" i="3"/>
  <c r="B3522" i="3"/>
  <c r="B3119" i="3"/>
  <c r="B2537" i="3"/>
  <c r="B914" i="3"/>
  <c r="B944" i="3"/>
  <c r="B2932" i="3"/>
  <c r="B1964" i="3"/>
  <c r="B588" i="3"/>
  <c r="B3344" i="3"/>
  <c r="B4214" i="3"/>
  <c r="B1691" i="3"/>
  <c r="B3646" i="3"/>
  <c r="B403" i="3"/>
  <c r="B1139" i="3"/>
  <c r="B756" i="3"/>
  <c r="B177" i="3"/>
  <c r="B3682" i="3"/>
  <c r="B906" i="3"/>
  <c r="B2109" i="3"/>
  <c r="B3548" i="3"/>
  <c r="B4464" i="3"/>
  <c r="B49" i="3"/>
  <c r="B3788" i="3"/>
  <c r="B2661" i="3"/>
  <c r="B3828" i="3"/>
  <c r="B2225" i="3"/>
  <c r="B2201" i="3"/>
  <c r="B1675" i="3"/>
  <c r="B1328" i="3"/>
  <c r="B2445" i="3"/>
  <c r="B1590" i="3"/>
  <c r="B1180" i="3"/>
  <c r="B1249" i="3"/>
  <c r="B1343" i="3"/>
  <c r="B2579" i="3"/>
  <c r="B1610" i="3"/>
  <c r="B1400" i="3"/>
  <c r="B3106" i="3"/>
  <c r="B1000" i="3"/>
  <c r="B25" i="3"/>
  <c r="B1188" i="3"/>
  <c r="B942" i="3"/>
  <c r="B2830" i="3"/>
  <c r="B1518" i="3"/>
  <c r="B1182" i="3"/>
  <c r="B578" i="3"/>
  <c r="B651" i="3"/>
  <c r="B2256" i="3"/>
  <c r="B2492" i="3"/>
  <c r="B2491" i="3"/>
  <c r="B2923" i="3"/>
  <c r="B321" i="3"/>
  <c r="B3034" i="3"/>
  <c r="B2884" i="3"/>
  <c r="B3593" i="3"/>
  <c r="B75" i="3"/>
  <c r="B3001" i="3"/>
  <c r="B818" i="3"/>
  <c r="B1153" i="3"/>
  <c r="B2072" i="3"/>
  <c r="B2642" i="3"/>
  <c r="B2545" i="3"/>
  <c r="B538" i="3"/>
  <c r="B2643" i="3"/>
  <c r="B559" i="3"/>
  <c r="B3513" i="3"/>
  <c r="B2056" i="3"/>
  <c r="B2029" i="3"/>
  <c r="B2859" i="3"/>
  <c r="B441" i="3"/>
  <c r="B107" i="3"/>
  <c r="B5294" i="3"/>
  <c r="B1119" i="3"/>
  <c r="B1275" i="3"/>
  <c r="B1284" i="3"/>
  <c r="B1479" i="3"/>
  <c r="B3315" i="3"/>
  <c r="B2674" i="3"/>
  <c r="B1913" i="3"/>
  <c r="B3999" i="3"/>
  <c r="B1288" i="3"/>
  <c r="B1932" i="3"/>
  <c r="B1457" i="3"/>
  <c r="B3022" i="3"/>
  <c r="B663" i="3"/>
  <c r="B3510" i="3"/>
  <c r="B606" i="3"/>
  <c r="B1246" i="3"/>
  <c r="B1772" i="3"/>
  <c r="B1572" i="3"/>
  <c r="B1761" i="3"/>
  <c r="B1741" i="3"/>
  <c r="B3131" i="3"/>
  <c r="B807" i="3"/>
  <c r="B785" i="3"/>
  <c r="B784" i="3"/>
  <c r="B865" i="3"/>
  <c r="B2030" i="3"/>
  <c r="B3238" i="3"/>
  <c r="B4050" i="3"/>
  <c r="B4004" i="3"/>
  <c r="B3067" i="3"/>
  <c r="B503" i="3"/>
  <c r="B1243" i="3"/>
  <c r="B6" i="3"/>
  <c r="B3266" i="3"/>
  <c r="B3170" i="3"/>
  <c r="B3190" i="3"/>
  <c r="B3107" i="3"/>
  <c r="B2906" i="3"/>
  <c r="B337" i="3"/>
  <c r="B41" i="3"/>
  <c r="B3895" i="3"/>
  <c r="B681" i="3"/>
  <c r="B1762" i="3"/>
  <c r="B3534" i="3"/>
  <c r="B2898" i="3"/>
  <c r="B3129" i="3"/>
  <c r="B3692" i="3"/>
  <c r="B1225" i="3"/>
  <c r="B1980" i="3"/>
  <c r="B99" i="3"/>
  <c r="B3360" i="3"/>
  <c r="B1290" i="3"/>
  <c r="B2134" i="3"/>
  <c r="B3013" i="3"/>
  <c r="B2466" i="3"/>
  <c r="B908" i="3"/>
  <c r="B3429" i="3"/>
  <c r="B3196" i="3"/>
  <c r="B430" i="3"/>
  <c r="B3189" i="3"/>
  <c r="B3191" i="3"/>
  <c r="B3181" i="3"/>
  <c r="B2186" i="3"/>
  <c r="B2930" i="3"/>
  <c r="B3098" i="3"/>
  <c r="B9" i="3"/>
  <c r="B664" i="3"/>
  <c r="B1526" i="3"/>
  <c r="B1021" i="3"/>
  <c r="B2328" i="3"/>
  <c r="B2838" i="3"/>
  <c r="B2357" i="3"/>
  <c r="B4071" i="3"/>
  <c r="B3343" i="3"/>
  <c r="B4250" i="3"/>
  <c r="B2347" i="3"/>
  <c r="B976" i="3"/>
  <c r="B351" i="3"/>
  <c r="B3826" i="3"/>
  <c r="B1944" i="3"/>
  <c r="B1146" i="3"/>
  <c r="B3254" i="3"/>
  <c r="B3145" i="3"/>
  <c r="B3611" i="3"/>
  <c r="B519" i="3"/>
  <c r="B1282" i="3"/>
  <c r="B558" i="3"/>
  <c r="B19" i="3"/>
  <c r="B2290" i="3"/>
  <c r="B66" i="3"/>
  <c r="B278" i="3"/>
  <c r="B3454" i="3"/>
  <c r="B2638" i="3"/>
  <c r="B295" i="3"/>
  <c r="B210" i="3"/>
  <c r="B3164" i="3"/>
  <c r="B2590" i="3"/>
  <c r="B1280" i="3"/>
  <c r="B1158" i="3"/>
  <c r="B706" i="3"/>
  <c r="B330" i="3"/>
  <c r="B3540" i="3"/>
  <c r="B144" i="3"/>
  <c r="B3596" i="3"/>
  <c r="B581" i="3"/>
  <c r="B3545" i="3"/>
  <c r="B3561" i="3"/>
  <c r="B2756" i="3"/>
  <c r="B136" i="3"/>
  <c r="B2881" i="3"/>
  <c r="B2617" i="3"/>
  <c r="B2745" i="3"/>
  <c r="B2050" i="3"/>
  <c r="B3212" i="3"/>
  <c r="B3302" i="3"/>
  <c r="B781" i="3"/>
  <c r="B1955" i="3"/>
  <c r="B284" i="3"/>
  <c r="B546" i="3"/>
  <c r="B262" i="3"/>
  <c r="B4994" i="3"/>
  <c r="B1253" i="3"/>
  <c r="B1291" i="3"/>
  <c r="B5308" i="3"/>
  <c r="B1953" i="3"/>
  <c r="B1261" i="3"/>
  <c r="B5161" i="3"/>
  <c r="B2250" i="3"/>
  <c r="B4709" i="3"/>
  <c r="B3609" i="3"/>
  <c r="B2529" i="3"/>
  <c r="B779" i="3"/>
  <c r="B393" i="3"/>
  <c r="B1209" i="3"/>
  <c r="B1387" i="3"/>
  <c r="B2196" i="3"/>
  <c r="B2195" i="3"/>
  <c r="B2310" i="3"/>
  <c r="B1643" i="3"/>
  <c r="B427" i="3"/>
  <c r="B1374" i="3"/>
  <c r="B2334" i="3"/>
  <c r="B2157" i="3"/>
  <c r="B1951" i="3"/>
  <c r="B670" i="3"/>
  <c r="B2168" i="3"/>
  <c r="B3638" i="3"/>
  <c r="B1386" i="3"/>
  <c r="B5289" i="3"/>
  <c r="B1382" i="3"/>
  <c r="B1388" i="3"/>
  <c r="B968" i="3"/>
  <c r="B193" i="3"/>
  <c r="B142" i="3"/>
  <c r="B3017" i="3"/>
  <c r="B2512" i="3"/>
  <c r="B2652" i="3"/>
  <c r="B1334" i="3"/>
  <c r="B1927" i="3"/>
  <c r="B2996" i="3"/>
  <c r="B2511" i="3"/>
  <c r="B2467" i="3"/>
  <c r="B2199" i="3"/>
  <c r="B2920" i="3"/>
  <c r="B3511" i="3"/>
  <c r="B3972" i="3"/>
  <c r="B1982" i="3"/>
  <c r="B2548" i="3"/>
  <c r="B884" i="3"/>
  <c r="B1591" i="3"/>
  <c r="B1101" i="3"/>
  <c r="B1986" i="3"/>
  <c r="B2124" i="3"/>
  <c r="B999" i="3"/>
  <c r="B1900" i="3"/>
  <c r="B2994" i="3"/>
  <c r="B2941" i="3"/>
  <c r="B178" i="3"/>
  <c r="B4134" i="3"/>
  <c r="B2436" i="3"/>
  <c r="B3799" i="3"/>
  <c r="B2305" i="3"/>
  <c r="B2276" i="3"/>
  <c r="B1993" i="3"/>
  <c r="B573" i="3"/>
  <c r="B514" i="3"/>
  <c r="B3246" i="3"/>
  <c r="B335" i="3"/>
  <c r="B2219" i="3"/>
  <c r="B2298" i="3"/>
  <c r="B1701" i="3"/>
  <c r="B4298" i="3"/>
  <c r="B1626" i="3"/>
  <c r="B2413" i="3"/>
  <c r="B2249" i="3"/>
  <c r="B2231" i="3"/>
  <c r="B3666" i="3"/>
  <c r="B114" i="3"/>
  <c r="B467" i="3"/>
  <c r="B336" i="3"/>
  <c r="B248" i="3"/>
  <c r="B372" i="3"/>
  <c r="B689" i="3"/>
  <c r="B371" i="3"/>
  <c r="B2233" i="3"/>
  <c r="B2960" i="3"/>
  <c r="B113" i="3"/>
  <c r="B214" i="3"/>
  <c r="B2221" i="3"/>
  <c r="B2185" i="3"/>
  <c r="B1866" i="3"/>
  <c r="B495" i="3"/>
  <c r="B4027" i="3"/>
  <c r="B2414" i="3"/>
  <c r="B254" i="3"/>
  <c r="B1769" i="3"/>
  <c r="B2973" i="3"/>
  <c r="B3441" i="3"/>
  <c r="B1118" i="3"/>
  <c r="B3933" i="3"/>
  <c r="B593" i="3"/>
  <c r="B3424" i="3"/>
  <c r="B3856" i="3"/>
  <c r="B2296" i="3"/>
  <c r="B207" i="3"/>
  <c r="B2211" i="3"/>
  <c r="B2744" i="3"/>
  <c r="B2177" i="3"/>
  <c r="B960" i="3"/>
  <c r="B1522" i="3"/>
  <c r="B1811" i="3"/>
  <c r="B3120" i="3"/>
  <c r="B1189" i="3"/>
  <c r="B1155" i="3"/>
  <c r="B5279" i="3"/>
  <c r="B2916" i="3"/>
  <c r="B824" i="3"/>
  <c r="B3711" i="3"/>
  <c r="B2355" i="3"/>
  <c r="B3542" i="3"/>
  <c r="B1806" i="3"/>
  <c r="B2487" i="3"/>
  <c r="B705" i="3"/>
  <c r="B1764" i="3"/>
  <c r="B1150" i="3"/>
  <c r="B1026" i="3"/>
  <c r="B3349" i="3"/>
  <c r="B819" i="3"/>
  <c r="B2889" i="3"/>
  <c r="B858" i="3"/>
  <c r="B4984" i="3"/>
  <c r="B3108" i="3"/>
  <c r="B618" i="3"/>
  <c r="B1999" i="3"/>
  <c r="B2609" i="3"/>
  <c r="B649" i="3"/>
  <c r="B970" i="3"/>
  <c r="B2684" i="3"/>
  <c r="B227" i="3"/>
  <c r="B3245" i="3"/>
  <c r="B893" i="3"/>
  <c r="B3571" i="3"/>
  <c r="B2017" i="3"/>
  <c r="B4736" i="3"/>
  <c r="B726" i="3"/>
  <c r="B1111" i="3"/>
  <c r="B257" i="3"/>
  <c r="B1235" i="3"/>
  <c r="B2362" i="3"/>
  <c r="B3436" i="3"/>
  <c r="B13" i="3"/>
  <c r="B653" i="3"/>
  <c r="B1603" i="3"/>
  <c r="B2273" i="3"/>
  <c r="B1141" i="3"/>
  <c r="B1164" i="3"/>
  <c r="B1659" i="3"/>
  <c r="B3885" i="3"/>
  <c r="B223" i="3"/>
  <c r="B3140" i="3"/>
  <c r="B2013" i="3"/>
  <c r="B494" i="3"/>
  <c r="B4188" i="3"/>
  <c r="B3690" i="3"/>
  <c r="B904" i="3"/>
  <c r="B1071" i="3"/>
  <c r="B2220" i="3"/>
  <c r="B479" i="3"/>
  <c r="B3802" i="3"/>
  <c r="B1911" i="3"/>
  <c r="B365" i="3"/>
  <c r="B2718" i="3"/>
  <c r="B2759" i="3"/>
  <c r="B940" i="3"/>
  <c r="B1207" i="3"/>
  <c r="B4646" i="3"/>
  <c r="B2781" i="3"/>
  <c r="B902" i="3"/>
  <c r="B2599" i="3"/>
  <c r="B3717" i="3"/>
  <c r="B4527" i="3"/>
  <c r="B3538" i="3"/>
  <c r="B3556" i="3"/>
  <c r="B2055" i="3"/>
  <c r="B5271" i="3"/>
  <c r="B3942" i="3"/>
  <c r="B991" i="3"/>
  <c r="B3386" i="3"/>
  <c r="B1545" i="3"/>
  <c r="B3485" i="3"/>
  <c r="B4535" i="3"/>
  <c r="B2688" i="3"/>
  <c r="B329" i="3"/>
  <c r="B196" i="3"/>
  <c r="B776" i="3"/>
  <c r="B2880" i="3"/>
  <c r="B1054" i="3"/>
  <c r="B1260" i="3"/>
  <c r="B1319" i="3"/>
  <c r="B2634" i="3"/>
  <c r="B3405" i="3"/>
  <c r="B2367" i="3"/>
  <c r="B2570" i="3"/>
  <c r="B1925" i="3"/>
  <c r="B4243" i="3"/>
  <c r="B282" i="3"/>
  <c r="B2485" i="3"/>
  <c r="B3827" i="3"/>
  <c r="B3636" i="3"/>
  <c r="B3173" i="3"/>
  <c r="B797" i="3"/>
  <c r="B356" i="3"/>
  <c r="B4999" i="3"/>
  <c r="B808" i="3"/>
  <c r="B2534" i="3"/>
  <c r="B2314" i="3"/>
  <c r="B2299" i="3"/>
  <c r="B3582" i="3"/>
  <c r="B488" i="3"/>
  <c r="B1439" i="3"/>
  <c r="B1436" i="3"/>
  <c r="B1541" i="3"/>
  <c r="B1449" i="3"/>
  <c r="B1338" i="3"/>
  <c r="B4976" i="3"/>
  <c r="B1471" i="3"/>
  <c r="B2144" i="3"/>
  <c r="B1823" i="3"/>
  <c r="B2210" i="3"/>
  <c r="B332" i="3"/>
  <c r="B2053" i="3"/>
  <c r="B18" i="3"/>
  <c r="B2151" i="3"/>
  <c r="B1366" i="3"/>
  <c r="B3492" i="3"/>
  <c r="B598" i="3"/>
  <c r="B2494" i="3"/>
  <c r="B613" i="3"/>
  <c r="B1127" i="3"/>
  <c r="B3071" i="3"/>
  <c r="B3518" i="3"/>
  <c r="B134" i="3"/>
  <c r="B3613" i="3"/>
  <c r="B851" i="3"/>
  <c r="B1920" i="3"/>
  <c r="B3541" i="3"/>
  <c r="B67" i="3"/>
  <c r="B5017" i="3"/>
  <c r="B316" i="3"/>
  <c r="B771" i="3"/>
  <c r="B1462" i="3"/>
  <c r="B2851" i="3"/>
  <c r="B1461" i="3"/>
  <c r="B2317" i="3"/>
  <c r="B936" i="3"/>
  <c r="B2297" i="3"/>
  <c r="B2331" i="3"/>
  <c r="B1096" i="3"/>
  <c r="B1265" i="3"/>
  <c r="B4711" i="3"/>
  <c r="B901" i="3"/>
  <c r="B3884" i="3"/>
  <c r="B2237" i="3"/>
  <c r="B3639" i="3"/>
  <c r="B5307" i="3"/>
  <c r="B608" i="3"/>
  <c r="B2848" i="3"/>
  <c r="B701" i="3"/>
  <c r="B1628" i="3"/>
  <c r="B2301" i="3"/>
  <c r="B5270" i="3"/>
  <c r="B2758" i="3"/>
  <c r="B2827" i="3"/>
  <c r="B1200" i="3"/>
  <c r="B3314" i="3"/>
  <c r="B2080" i="3"/>
  <c r="B2914" i="3"/>
  <c r="B286" i="3"/>
  <c r="B2115" i="3"/>
  <c r="B995" i="3"/>
  <c r="B326" i="3"/>
  <c r="B1532" i="3"/>
  <c r="B921" i="3"/>
  <c r="B3979" i="3"/>
  <c r="B988" i="3"/>
  <c r="B391" i="3"/>
  <c r="B4058" i="3"/>
  <c r="B3813" i="3"/>
  <c r="B4211" i="3"/>
  <c r="B2311" i="3"/>
  <c r="B253" i="3"/>
  <c r="B2966" i="3"/>
  <c r="B2604" i="3"/>
  <c r="B4989" i="3"/>
  <c r="B256" i="3"/>
  <c r="B3566" i="3"/>
  <c r="B240" i="3"/>
  <c r="B898" i="3"/>
  <c r="B2123" i="3"/>
  <c r="B3650" i="3"/>
  <c r="B1459" i="3"/>
  <c r="B1890" i="3"/>
  <c r="B293" i="3"/>
  <c r="B2052" i="3"/>
  <c r="B1746" i="3"/>
  <c r="B3503" i="3"/>
  <c r="B2286" i="3"/>
  <c r="B1922" i="3"/>
  <c r="B2354" i="3"/>
  <c r="B3723" i="3"/>
  <c r="B739" i="3"/>
  <c r="B694" i="3"/>
  <c r="B1458" i="3"/>
  <c r="B1237" i="3"/>
  <c r="B1991" i="3"/>
  <c r="B1251" i="3"/>
  <c r="B1126" i="3"/>
  <c r="B2465" i="3"/>
  <c r="B2324" i="3"/>
  <c r="B1611" i="3"/>
  <c r="B630" i="3"/>
  <c r="B2508" i="3"/>
  <c r="B312" i="3"/>
  <c r="B2248" i="3"/>
  <c r="B1694" i="3"/>
  <c r="B3124" i="3"/>
  <c r="B272" i="3"/>
  <c r="B3460" i="3"/>
  <c r="B3559" i="3"/>
  <c r="B825" i="3"/>
  <c r="B2170" i="3"/>
  <c r="B3113" i="3"/>
  <c r="B3126" i="3"/>
  <c r="B2005" i="3"/>
  <c r="B1325" i="3"/>
  <c r="B2008" i="3"/>
  <c r="B1367" i="3"/>
  <c r="B3377" i="3"/>
  <c r="B3509" i="3"/>
  <c r="B3305" i="3"/>
  <c r="B449" i="3"/>
  <c r="B5267" i="3"/>
  <c r="B2255" i="3"/>
  <c r="B3016" i="3"/>
  <c r="B2795" i="3"/>
  <c r="B1379" i="3"/>
  <c r="B4055" i="3"/>
  <c r="B2977" i="3"/>
  <c r="B3941" i="3"/>
  <c r="B1376" i="3"/>
  <c r="B2850" i="3"/>
  <c r="B493" i="3"/>
  <c r="B73" i="3"/>
  <c r="B3446" i="3"/>
  <c r="B2892" i="3"/>
  <c r="B2993" i="3"/>
  <c r="B3893" i="3"/>
  <c r="B2980" i="3"/>
  <c r="B2737" i="3"/>
  <c r="B3501" i="3"/>
  <c r="B2950" i="3"/>
  <c r="B1368" i="3"/>
  <c r="B1860" i="3"/>
  <c r="B955" i="3"/>
  <c r="B440" i="3"/>
  <c r="B3275" i="3"/>
  <c r="B3299" i="3"/>
  <c r="B3925" i="3"/>
  <c r="B1422" i="3"/>
  <c r="B2810" i="3"/>
  <c r="B1017" i="3"/>
  <c r="B3099" i="3"/>
  <c r="B641" i="3"/>
  <c r="B2845" i="3"/>
  <c r="B4707" i="3"/>
  <c r="B3337" i="3"/>
  <c r="B4008" i="3"/>
  <c r="B5281" i="3"/>
  <c r="B3464" i="3"/>
  <c r="B1912" i="3"/>
  <c r="B37" i="3"/>
  <c r="B661" i="3"/>
  <c r="B3323" i="3"/>
  <c r="B1156" i="3"/>
  <c r="B989" i="3"/>
  <c r="B3353" i="3"/>
  <c r="B2757" i="3"/>
  <c r="B1677" i="3"/>
  <c r="B1104" i="3"/>
  <c r="B1136" i="3"/>
  <c r="B3338" i="3"/>
  <c r="B1447" i="3"/>
  <c r="B1520" i="3"/>
  <c r="B304" i="3"/>
  <c r="B1089" i="3"/>
  <c r="B3308" i="3"/>
  <c r="B2908" i="3"/>
  <c r="B1546" i="3"/>
  <c r="B868" i="3"/>
  <c r="B1645" i="3"/>
  <c r="B463" i="3"/>
  <c r="B1699" i="3"/>
  <c r="B1975" i="3"/>
  <c r="B1134" i="3"/>
  <c r="B2826" i="3"/>
  <c r="B3458" i="3"/>
  <c r="B1885" i="3"/>
  <c r="B2454" i="3"/>
  <c r="B3206" i="3"/>
  <c r="B2264" i="3"/>
  <c r="B1331" i="3"/>
  <c r="B2443" i="3"/>
  <c r="B3293" i="3"/>
  <c r="B919" i="3"/>
  <c r="B2769" i="3"/>
  <c r="B1956" i="3"/>
  <c r="B2107" i="3"/>
  <c r="B2180" i="3"/>
  <c r="B298" i="3"/>
  <c r="B3023" i="3"/>
  <c r="B2353" i="3"/>
  <c r="B2551" i="3"/>
  <c r="B74" i="3"/>
  <c r="B692" i="3"/>
  <c r="B3175" i="3"/>
  <c r="B778" i="3"/>
  <c r="B621" i="3"/>
  <c r="B357" i="3"/>
  <c r="B2105" i="3"/>
  <c r="B1766" i="3"/>
  <c r="B390" i="3"/>
  <c r="B3086" i="3"/>
  <c r="B229" i="3"/>
  <c r="B5217" i="3"/>
  <c r="B845" i="3"/>
  <c r="B3409" i="3"/>
  <c r="B459" i="3"/>
  <c r="B552" i="3"/>
  <c r="B1270" i="3"/>
  <c r="B1364" i="3"/>
  <c r="B1354" i="3"/>
  <c r="B2116" i="3"/>
  <c r="B1289" i="3"/>
  <c r="B3310" i="3"/>
  <c r="B895" i="3"/>
  <c r="B2598" i="3"/>
  <c r="B1566" i="3"/>
  <c r="B1552" i="3"/>
  <c r="B3736" i="3"/>
  <c r="B1580" i="3"/>
  <c r="B1597" i="3"/>
  <c r="B1579" i="3"/>
  <c r="B1553" i="3"/>
  <c r="B1662" i="3"/>
  <c r="B1295" i="3"/>
  <c r="B1268" i="3"/>
  <c r="B1124" i="3"/>
  <c r="B5283" i="3"/>
  <c r="B516" i="3"/>
  <c r="B5077" i="3"/>
  <c r="B1473" i="3"/>
  <c r="B1478" i="3"/>
  <c r="B10" i="3"/>
  <c r="B5269" i="3"/>
  <c r="B473" i="3"/>
  <c r="B238" i="3"/>
  <c r="B3125" i="3"/>
  <c r="B3165" i="3"/>
  <c r="B2673" i="3"/>
  <c r="B2671" i="3"/>
  <c r="B3558" i="3"/>
  <c r="B2543" i="3"/>
  <c r="B3236" i="3"/>
  <c r="B5136" i="3"/>
  <c r="B2308" i="3"/>
  <c r="B3277" i="3"/>
  <c r="B1781" i="3"/>
  <c r="B1528" i="3"/>
  <c r="B3474" i="3"/>
  <c r="B246" i="3"/>
  <c r="B1490" i="3"/>
  <c r="B3219" i="3"/>
  <c r="B1474" i="3"/>
  <c r="B1438" i="3"/>
  <c r="B1488" i="3"/>
  <c r="B5287" i="3"/>
  <c r="B266" i="3"/>
  <c r="B1648" i="3"/>
  <c r="B2405" i="3"/>
  <c r="B1070" i="3"/>
  <c r="B3148" i="3"/>
  <c r="B2847" i="3"/>
  <c r="B973" i="3"/>
  <c r="B2832" i="3"/>
  <c r="B2092" i="3"/>
  <c r="B3528" i="3"/>
  <c r="B2275" i="3"/>
  <c r="B2188" i="3"/>
  <c r="B888" i="3"/>
  <c r="B891" i="3"/>
  <c r="B5285" i="3"/>
  <c r="B1130" i="3"/>
  <c r="B3065" i="3"/>
  <c r="B1468" i="3"/>
  <c r="B1154" i="3"/>
  <c r="B665" i="3"/>
  <c r="B1365" i="3"/>
  <c r="B470" i="3"/>
  <c r="B3554" i="3"/>
  <c r="B1177" i="3"/>
  <c r="B485" i="3"/>
  <c r="B213" i="3"/>
  <c r="B1549" i="3"/>
  <c r="B718" i="3"/>
  <c r="B2252" i="3"/>
  <c r="B849" i="3"/>
  <c r="B3381" i="3"/>
  <c r="B3095" i="3"/>
  <c r="B2190" i="3"/>
  <c r="B1968" i="3"/>
  <c r="B400" i="3"/>
  <c r="B2106" i="3"/>
  <c r="B2263" i="3"/>
  <c r="B1112" i="3"/>
  <c r="B2422" i="3"/>
  <c r="B1369" i="3"/>
  <c r="B667" i="3"/>
  <c r="B620" i="3"/>
  <c r="B2854" i="3"/>
  <c r="B3923" i="3"/>
  <c r="B3198" i="3"/>
  <c r="B993" i="3"/>
  <c r="B1116" i="3"/>
  <c r="B971" i="3"/>
  <c r="B2316" i="3"/>
  <c r="B2563" i="3"/>
  <c r="B2312" i="3"/>
  <c r="B2373" i="3"/>
  <c r="B2332" i="3"/>
  <c r="B1327" i="3"/>
  <c r="B269" i="3"/>
  <c r="B3282" i="3"/>
  <c r="B2374" i="3"/>
  <c r="B3398" i="3"/>
  <c r="B360" i="3"/>
  <c r="B334" i="3"/>
  <c r="B2313" i="3"/>
  <c r="B3091" i="3"/>
  <c r="B1036" i="3"/>
  <c r="B1259" i="3"/>
  <c r="B2021" i="3"/>
  <c r="B3698" i="3"/>
  <c r="B481" i="3"/>
  <c r="B1240" i="3"/>
  <c r="B1978" i="3"/>
  <c r="B1287" i="3"/>
  <c r="B471" i="3"/>
  <c r="B584" i="3"/>
  <c r="B2530" i="3"/>
  <c r="B3651" i="3"/>
  <c r="B711" i="3"/>
  <c r="B529" i="3"/>
  <c r="B2288" i="3"/>
  <c r="B2693" i="3"/>
  <c r="B251" i="3"/>
  <c r="B1426" i="3"/>
  <c r="B1622" i="3"/>
  <c r="B1414" i="3"/>
  <c r="B1394" i="3"/>
  <c r="B3419" i="3"/>
  <c r="B1974" i="3"/>
  <c r="B1181" i="3"/>
  <c r="B82" i="3"/>
  <c r="B268" i="3"/>
  <c r="B3948" i="3"/>
  <c r="B204" i="3"/>
  <c r="B208" i="3"/>
  <c r="B3103" i="3"/>
  <c r="B703" i="3"/>
  <c r="B3691" i="3"/>
  <c r="B3450" i="3"/>
  <c r="B2921" i="3"/>
  <c r="B3058" i="3"/>
  <c r="B2729" i="3"/>
  <c r="B1233" i="3"/>
  <c r="B3537" i="3"/>
  <c r="B1828" i="3"/>
  <c r="B2278" i="3"/>
  <c r="B2971" i="3"/>
  <c r="B2679" i="3"/>
  <c r="B3685" i="3"/>
  <c r="B946" i="3"/>
  <c r="B2102" i="3"/>
  <c r="B3647" i="3"/>
  <c r="B2457" i="3"/>
  <c r="B2954" i="3"/>
  <c r="B2075" i="3"/>
  <c r="B1129" i="3"/>
  <c r="B423" i="3"/>
  <c r="B1782" i="3"/>
  <c r="B1740" i="3"/>
  <c r="B2084" i="3"/>
  <c r="B1093" i="3"/>
  <c r="B2448" i="3"/>
  <c r="B2461" i="3"/>
  <c r="B572" i="3"/>
  <c r="B3135" i="3"/>
  <c r="B1106" i="3"/>
  <c r="B2281" i="3"/>
  <c r="B1950" i="3"/>
  <c r="B2400" i="3"/>
  <c r="B2817" i="3"/>
  <c r="B195" i="3"/>
  <c r="B2396" i="3"/>
  <c r="B3387" i="3"/>
  <c r="B1961" i="3"/>
  <c r="B1299" i="3"/>
  <c r="B3066" i="3"/>
  <c r="B595" i="3"/>
  <c r="B2970" i="3"/>
  <c r="B3163" i="3"/>
  <c r="B2289" i="3"/>
  <c r="B545" i="3"/>
  <c r="B4614" i="3"/>
  <c r="B296" i="3"/>
  <c r="B354" i="3"/>
  <c r="B2496" i="3"/>
  <c r="B3438" i="3"/>
  <c r="B5034" i="3"/>
  <c r="B2258" i="3"/>
  <c r="B2539" i="3"/>
  <c r="B821" i="3"/>
  <c r="B1530" i="3"/>
  <c r="B3543" i="3"/>
  <c r="B3080" i="3"/>
  <c r="B2816" i="3"/>
  <c r="B3144" i="3"/>
  <c r="B2475" i="3"/>
  <c r="B2370" i="3"/>
  <c r="B2345" i="3"/>
  <c r="B1051" i="3"/>
  <c r="B437" i="3"/>
  <c r="B56" i="3"/>
  <c r="B2407" i="3"/>
  <c r="B2741" i="3"/>
  <c r="B1381" i="3"/>
  <c r="B843" i="3"/>
  <c r="B2713" i="3"/>
  <c r="B647" i="3"/>
  <c r="B2371" i="3"/>
  <c r="B1286" i="3"/>
  <c r="B4750" i="3"/>
  <c r="B1262" i="3"/>
  <c r="B847" i="3"/>
  <c r="B601" i="3"/>
  <c r="B327" i="3"/>
  <c r="B187" i="3"/>
  <c r="B3676" i="3"/>
  <c r="B783" i="3"/>
  <c r="B3902" i="3"/>
  <c r="B733" i="3"/>
  <c r="B755" i="3"/>
  <c r="B2388" i="3"/>
  <c r="B2437" i="3"/>
  <c r="B3231" i="3"/>
  <c r="B554" i="3"/>
  <c r="B2938" i="3"/>
  <c r="B2597" i="3"/>
  <c r="B2294" i="3"/>
  <c r="B2697" i="3"/>
  <c r="B3355" i="3"/>
  <c r="B2635" i="3"/>
  <c r="B2738" i="3"/>
  <c r="B2251" i="3"/>
  <c r="B687" i="3"/>
  <c r="B2858" i="3"/>
  <c r="B766" i="3"/>
  <c r="B2399" i="3"/>
  <c r="B3262" i="3"/>
  <c r="B3342" i="3"/>
  <c r="B1005" i="3"/>
  <c r="B2504" i="3"/>
  <c r="B5298" i="3"/>
  <c r="B2173" i="3"/>
  <c r="B2073" i="3"/>
  <c r="B3042" i="3"/>
  <c r="B4084" i="3"/>
  <c r="B201" i="3"/>
  <c r="B958" i="3"/>
  <c r="B2473" i="3"/>
  <c r="B2303" i="3"/>
  <c r="B2901" i="3"/>
  <c r="B2037" i="3"/>
  <c r="B2041" i="3"/>
  <c r="B4836" i="3"/>
  <c r="B2553" i="3"/>
  <c r="B3390" i="3"/>
  <c r="B2677" i="3"/>
  <c r="B693" i="3"/>
  <c r="B3420" i="3"/>
  <c r="B3632" i="3"/>
  <c r="B486" i="3"/>
  <c r="B1501" i="3"/>
  <c r="B2595" i="3"/>
  <c r="B3659" i="3"/>
  <c r="B2614" i="3"/>
  <c r="B3681" i="3"/>
  <c r="B826" i="3"/>
  <c r="B2663" i="3"/>
  <c r="B2104" i="3"/>
  <c r="B426" i="3"/>
  <c r="B162" i="3"/>
  <c r="B5274" i="3"/>
  <c r="B2783" i="3"/>
  <c r="B5306" i="3"/>
  <c r="B2232" i="3"/>
  <c r="B2802" i="3"/>
  <c r="B523" i="3"/>
  <c r="B4332" i="3"/>
  <c r="B4001" i="3"/>
  <c r="B4455" i="3"/>
  <c r="B2114" i="3"/>
  <c r="B3660" i="3"/>
  <c r="B3726" i="3"/>
  <c r="B1138" i="3"/>
  <c r="B1357" i="3"/>
  <c r="B190" i="3"/>
  <c r="B1929" i="3"/>
  <c r="B4375" i="3"/>
  <c r="B4696" i="3"/>
  <c r="B3171" i="3"/>
  <c r="B3241" i="3"/>
  <c r="B838" i="3"/>
  <c r="B4016" i="3"/>
  <c r="B3622" i="3"/>
  <c r="B2238" i="3"/>
  <c r="B2888" i="3"/>
  <c r="B1041" i="3"/>
  <c r="B1837" i="3"/>
  <c r="B1078" i="3"/>
  <c r="B721" i="3"/>
  <c r="B184" i="3"/>
  <c r="B3229" i="3"/>
  <c r="B1140" i="3"/>
  <c r="B1210" i="3"/>
  <c r="B2059" i="3"/>
  <c r="B5272" i="3"/>
  <c r="B1921" i="3"/>
  <c r="B1352" i="3"/>
  <c r="B1213" i="3"/>
  <c r="B2015" i="3"/>
  <c r="B3367" i="3"/>
  <c r="B553" i="3"/>
  <c r="B1730" i="3"/>
  <c r="B3641" i="3"/>
  <c r="B3597" i="3"/>
  <c r="B21" i="3"/>
  <c r="B2951" i="3"/>
  <c r="B1347" i="3"/>
  <c r="B2739" i="3"/>
  <c r="B2392" i="3"/>
  <c r="B1231" i="3"/>
  <c r="B3954" i="3"/>
  <c r="B760" i="3"/>
  <c r="B3278" i="3"/>
  <c r="B2540" i="3"/>
  <c r="B2129" i="3"/>
  <c r="B2502" i="3"/>
  <c r="B2623" i="3"/>
  <c r="B2147" i="3"/>
  <c r="B387" i="3"/>
  <c r="B1358" i="3"/>
  <c r="B1222" i="3"/>
  <c r="B302" i="3"/>
  <c r="B1294" i="3"/>
  <c r="B2000" i="3"/>
  <c r="B2723" i="3"/>
  <c r="B1695" i="3"/>
  <c r="B1914" i="3"/>
  <c r="B1988" i="3"/>
  <c r="B1241" i="3"/>
  <c r="B3350" i="3"/>
  <c r="B1936" i="3"/>
  <c r="B1486" i="3"/>
  <c r="B1075" i="3"/>
  <c r="B4194" i="3"/>
  <c r="B3658" i="3"/>
  <c r="B3791" i="3"/>
  <c r="B412" i="3"/>
  <c r="B339" i="3"/>
  <c r="B2724" i="3"/>
  <c r="B2750" i="3"/>
  <c r="B3082" i="3"/>
  <c r="B1298" i="3"/>
  <c r="B1817" i="3"/>
  <c r="B2890" i="3"/>
  <c r="B4363" i="3"/>
  <c r="B3808" i="3"/>
  <c r="B3038" i="3"/>
  <c r="B117" i="3"/>
  <c r="B2613" i="3"/>
  <c r="B313" i="3"/>
  <c r="B148" i="3"/>
  <c r="B607" i="3"/>
  <c r="B3661" i="3"/>
  <c r="B3261" i="3"/>
  <c r="B1779" i="3"/>
  <c r="B3153" i="3"/>
  <c r="B3416" i="3"/>
  <c r="B3048" i="3"/>
  <c r="B2667" i="3"/>
  <c r="B2685" i="3"/>
  <c r="B1906" i="3"/>
  <c r="B2958" i="3"/>
  <c r="B2867" i="3"/>
  <c r="B3118" i="3"/>
  <c r="B1614" i="3"/>
  <c r="B3883" i="3"/>
  <c r="B103" i="3"/>
  <c r="B1307" i="3"/>
  <c r="B408" i="3"/>
  <c r="B535" i="3"/>
  <c r="B3557" i="3"/>
  <c r="B3563" i="3"/>
  <c r="B1300" i="3"/>
  <c r="B2935" i="3"/>
  <c r="B2150" i="3"/>
  <c r="B1981" i="3"/>
  <c r="B1247" i="3"/>
  <c r="B359" i="3"/>
  <c r="B1277" i="3"/>
  <c r="B3539" i="3"/>
  <c r="B636" i="3"/>
  <c r="B922" i="3"/>
  <c r="B3789" i="3"/>
  <c r="B586" i="3"/>
  <c r="B2705" i="3"/>
  <c r="B585" i="3"/>
  <c r="B243" i="3"/>
  <c r="B2716" i="3"/>
  <c r="B4022" i="3"/>
  <c r="B897" i="3"/>
  <c r="B1493" i="3"/>
  <c r="B2476" i="3"/>
  <c r="B3111" i="3"/>
  <c r="B3575" i="3"/>
  <c r="B48" i="3"/>
  <c r="B468" i="3"/>
  <c r="B3247" i="3"/>
  <c r="B522" i="3"/>
  <c r="B716" i="3"/>
  <c r="B2780" i="3"/>
  <c r="B1990" i="3"/>
  <c r="B745" i="3"/>
  <c r="B3568" i="3"/>
  <c r="B637" i="3"/>
  <c r="B2895" i="3"/>
  <c r="B2546" i="3"/>
  <c r="B3718" i="3"/>
  <c r="B2244" i="3"/>
  <c r="B978" i="3"/>
  <c r="B709" i="3"/>
  <c r="B3394" i="3"/>
  <c r="B499" i="3"/>
  <c r="B4025" i="3"/>
  <c r="B1683" i="3"/>
  <c r="B445" i="3"/>
  <c r="B1857" i="3"/>
  <c r="B905" i="3"/>
  <c r="B435" i="3"/>
  <c r="B5282" i="3"/>
  <c r="B1516" i="3"/>
  <c r="B1821" i="3"/>
  <c r="B2359" i="3"/>
  <c r="B1608" i="3"/>
  <c r="B2763" i="3"/>
  <c r="B2704" i="3"/>
  <c r="B466" i="3"/>
  <c r="B300" i="3"/>
  <c r="B521" i="3"/>
  <c r="B3778" i="3"/>
  <c r="B2902" i="3"/>
  <c r="B652" i="3"/>
  <c r="B863" i="3"/>
  <c r="B2559" i="3"/>
  <c r="B5277" i="3"/>
  <c r="B4032" i="3"/>
  <c r="B3150" i="3"/>
  <c r="B219" i="3"/>
  <c r="B1989" i="3"/>
  <c r="B2267" i="3"/>
  <c r="B1122" i="3"/>
  <c r="B626" i="3"/>
  <c r="B5280" i="3"/>
  <c r="B3256" i="3"/>
  <c r="B3029" i="3"/>
  <c r="B786" i="3"/>
  <c r="B252" i="3"/>
  <c r="B2608" i="3"/>
  <c r="B1630" i="3"/>
  <c r="B2863" i="3"/>
  <c r="B833" i="3"/>
  <c r="B3427" i="3"/>
  <c r="B1266" i="3"/>
  <c r="B179" i="3"/>
  <c r="B3413" i="3"/>
  <c r="B604" i="3"/>
  <c r="B3649" i="3"/>
  <c r="B1362" i="3"/>
  <c r="B635" i="3"/>
  <c r="B1375" i="3"/>
  <c r="B1525" i="3"/>
  <c r="B439" i="3"/>
  <c r="B1505" i="3"/>
  <c r="B1874" i="3"/>
  <c r="B2217" i="3"/>
  <c r="B2877" i="3"/>
  <c r="B2385" i="3"/>
  <c r="B3451" i="3"/>
  <c r="B45" i="3"/>
  <c r="B290" i="3"/>
  <c r="B1380" i="3"/>
  <c r="B3946" i="3"/>
  <c r="B2982" i="3"/>
  <c r="B185" i="3"/>
  <c r="B2078" i="3"/>
  <c r="B2132" i="3"/>
  <c r="B2999" i="3"/>
  <c r="B1770" i="3"/>
  <c r="B2588" i="3"/>
  <c r="B2936" i="3"/>
  <c r="B3916" i="3"/>
  <c r="B731" i="3"/>
  <c r="B832" i="3"/>
  <c r="B2209" i="3"/>
  <c r="B4018" i="3"/>
  <c r="B2625" i="3"/>
  <c r="B3222" i="3"/>
  <c r="B695" i="3"/>
  <c r="B3445" i="3"/>
  <c r="B1871" i="3"/>
  <c r="B1513" i="3"/>
  <c r="B1263" i="3"/>
  <c r="B1503" i="3"/>
  <c r="B2788" i="3"/>
  <c r="B239" i="3"/>
  <c r="B839" i="3"/>
  <c r="B2077" i="3"/>
  <c r="B1109" i="3"/>
  <c r="B1002" i="3"/>
  <c r="B698" i="3"/>
  <c r="B4060" i="3"/>
  <c r="B1227" i="3"/>
  <c r="B2592" i="3"/>
  <c r="B1613" i="3"/>
  <c r="B2302" i="3"/>
  <c r="B4577" i="3"/>
  <c r="B2990" i="3"/>
  <c r="B1865" i="3"/>
  <c r="B2991" i="3"/>
  <c r="B3036" i="3"/>
  <c r="B414" i="3"/>
  <c r="B1120" i="3"/>
  <c r="B1157" i="3"/>
  <c r="B2401" i="3"/>
  <c r="B2389" i="3"/>
  <c r="B2397" i="3"/>
  <c r="B611" i="3"/>
  <c r="B2418" i="3"/>
  <c r="B472" i="3"/>
  <c r="B941" i="3"/>
  <c r="B2949" i="3"/>
  <c r="B1631" i="3"/>
  <c r="B749" i="3"/>
  <c r="B501" i="3"/>
  <c r="B2857" i="3"/>
  <c r="B287" i="3"/>
  <c r="B2843" i="3"/>
  <c r="B1685" i="3"/>
  <c r="B1941" i="3"/>
  <c r="B1940" i="3"/>
  <c r="B2524" i="3"/>
  <c r="B4499" i="3"/>
  <c r="B2047" i="3"/>
  <c r="B1187" i="3"/>
  <c r="B1665" i="3"/>
  <c r="B3211" i="3"/>
  <c r="B2384" i="3"/>
  <c r="B1966" i="3"/>
  <c r="B2089" i="3"/>
  <c r="B2557" i="3"/>
  <c r="B2336" i="3"/>
  <c r="B205" i="3"/>
  <c r="B2749" i="3"/>
  <c r="B2917" i="3"/>
  <c r="B928" i="3"/>
  <c r="B3157" i="3"/>
  <c r="B2111" i="3"/>
  <c r="B2372" i="3"/>
  <c r="B3422" i="3"/>
  <c r="B3672" i="3"/>
  <c r="B434" i="3"/>
  <c r="B622" i="3"/>
  <c r="B974" i="3"/>
  <c r="B121" i="3"/>
  <c r="B926" i="3"/>
  <c r="B275" i="3"/>
  <c r="B1469" i="3"/>
  <c r="B550" i="3"/>
  <c r="B1211" i="3"/>
  <c r="B767" i="3"/>
  <c r="B1598" i="3"/>
  <c r="B823" i="3"/>
  <c r="B2175" i="3"/>
  <c r="B1899" i="3"/>
  <c r="B3283" i="3"/>
  <c r="B1870" i="3"/>
  <c r="B1008" i="3"/>
  <c r="B913" i="3"/>
  <c r="B2031" i="3"/>
  <c r="B878" i="3"/>
  <c r="B2801" i="3"/>
  <c r="B1084" i="3"/>
  <c r="B2839" i="3"/>
  <c r="B146" i="3"/>
  <c r="B1143" i="3"/>
  <c r="B2333" i="3"/>
  <c r="B2323" i="3"/>
  <c r="B3046" i="3"/>
  <c r="B1144" i="3"/>
  <c r="B2732" i="3"/>
  <c r="B953" i="3"/>
  <c r="B2148" i="3"/>
  <c r="B1716" i="3"/>
  <c r="B2176" i="3"/>
  <c r="B1674" i="3"/>
  <c r="B3068" i="3"/>
  <c r="B2651" i="3"/>
  <c r="B984" i="3"/>
  <c r="B2216" i="3"/>
  <c r="B719" i="3"/>
  <c r="B108" i="3"/>
  <c r="B3205" i="3"/>
  <c r="B2580" i="3"/>
  <c r="B3063" i="3"/>
  <c r="B1117" i="3"/>
  <c r="B2573" i="3"/>
  <c r="B2842" i="3"/>
  <c r="B358" i="3"/>
  <c r="B750" i="3"/>
  <c r="B1593" i="3"/>
  <c r="B234" i="3"/>
  <c r="B2575" i="3"/>
  <c r="B658" i="3"/>
  <c r="B1466" i="3"/>
  <c r="B176" i="3"/>
  <c r="B631" i="3"/>
  <c r="B828" i="3"/>
  <c r="B2449" i="3"/>
  <c r="B401" i="3"/>
  <c r="B1047" i="3"/>
  <c r="B1962" i="3"/>
  <c r="B1939" i="3"/>
  <c r="B686" i="3"/>
  <c r="B2544" i="3"/>
  <c r="B211" i="3"/>
  <c r="B4844" i="3"/>
  <c r="B1994" i="3"/>
  <c r="B871" i="3"/>
  <c r="B129" i="3"/>
  <c r="B1972" i="3"/>
  <c r="B382" i="3"/>
  <c r="B534" i="3"/>
  <c r="B446" i="3"/>
  <c r="B3863" i="3"/>
  <c r="B1765" i="3"/>
  <c r="B697" i="3"/>
  <c r="B1539" i="3"/>
  <c r="B5266" i="3"/>
  <c r="B406" i="3"/>
  <c r="B4680" i="3"/>
  <c r="B2133" i="3"/>
  <c r="B896" i="3"/>
  <c r="B1337" i="3"/>
  <c r="B3440" i="3"/>
  <c r="B2131" i="3"/>
  <c r="B1301" i="3"/>
  <c r="B4066" i="3"/>
  <c r="B765" i="3"/>
  <c r="B2566" i="3"/>
  <c r="B2318" i="3"/>
  <c r="B740" i="3"/>
  <c r="B1321" i="3"/>
  <c r="B3586" i="3"/>
  <c r="B533" i="3"/>
  <c r="B3998" i="3"/>
  <c r="B3565" i="3"/>
  <c r="B292" i="3"/>
  <c r="B4109" i="3"/>
  <c r="B725" i="3"/>
  <c r="B666" i="3"/>
  <c r="B2528" i="3"/>
  <c r="B2569" i="3"/>
  <c r="B3623" i="3"/>
  <c r="B194" i="3"/>
  <c r="B3499" i="3"/>
  <c r="B1992" i="3"/>
  <c r="B690" i="3"/>
  <c r="B2442" i="3"/>
  <c r="B2419" i="3"/>
  <c r="B2432" i="3"/>
  <c r="B2226" i="3"/>
  <c r="B2427" i="3"/>
  <c r="B768" i="3"/>
  <c r="B2425" i="3"/>
  <c r="B2430" i="3"/>
  <c r="B2426" i="3"/>
  <c r="B2424" i="3"/>
  <c r="B632" i="3"/>
  <c r="B1281" i="3"/>
  <c r="B2479" i="3"/>
  <c r="B2988" i="3"/>
  <c r="B2981" i="3"/>
  <c r="B444" i="3"/>
  <c r="B314" i="3"/>
  <c r="B2011" i="3"/>
  <c r="B2770" i="3"/>
  <c r="B2556" i="3"/>
  <c r="B3121" i="3"/>
  <c r="B543" i="3"/>
  <c r="B180" i="3"/>
  <c r="B793" i="3"/>
  <c r="B2421" i="3"/>
  <c r="B668" i="3"/>
  <c r="B2001" i="3"/>
  <c r="B2636" i="3"/>
  <c r="B1079" i="3"/>
  <c r="B1751" i="3"/>
  <c r="B3392" i="3"/>
  <c r="B3519" i="3"/>
  <c r="B3251" i="3"/>
  <c r="B2526" i="3"/>
  <c r="B2574" i="3"/>
  <c r="B1615" i="3"/>
  <c r="B886" i="3"/>
  <c r="B700" i="3"/>
  <c r="B596" i="3"/>
  <c r="B805" i="3"/>
  <c r="B2081" i="3"/>
  <c r="B2460" i="3"/>
  <c r="B189" i="3"/>
  <c r="B820" i="3"/>
  <c r="B2433" i="3"/>
  <c r="B2435" i="3"/>
  <c r="B2387" i="3"/>
  <c r="B2306" i="3"/>
  <c r="B411" i="3"/>
  <c r="B4339" i="3"/>
  <c r="B2615" i="3"/>
  <c r="B2239" i="3"/>
  <c r="B3679" i="3"/>
  <c r="B2094" i="3"/>
  <c r="B130" i="3"/>
  <c r="B416" i="3"/>
  <c r="B738" i="3"/>
  <c r="B1322" i="3"/>
  <c r="B3572" i="3"/>
  <c r="B1013" i="3"/>
  <c r="B3671" i="3"/>
  <c r="B250" i="3"/>
  <c r="B3050" i="3"/>
  <c r="B405" i="3"/>
  <c r="B2707" i="3"/>
  <c r="B1995" i="3"/>
  <c r="B3359" i="3"/>
  <c r="B657" i="3"/>
  <c r="B3195" i="3"/>
  <c r="B4036" i="3"/>
  <c r="B1110" i="3"/>
  <c r="B2472" i="3"/>
  <c r="B2214" i="3"/>
  <c r="B1509" i="3"/>
  <c r="B1385" i="3"/>
  <c r="B4526" i="3"/>
  <c r="B2191" i="3"/>
  <c r="B1776" i="3"/>
  <c r="B484" i="3"/>
  <c r="B1826" i="3"/>
  <c r="B590" i="3"/>
  <c r="B323" i="3"/>
  <c r="B1320" i="3"/>
  <c r="B1407" i="3"/>
  <c r="B3642" i="3"/>
  <c r="B2040" i="3"/>
  <c r="B1723" i="3"/>
  <c r="B2026" i="3"/>
  <c r="B1793" i="3"/>
  <c r="B61" i="3"/>
  <c r="B2568" i="3"/>
  <c r="B2987" i="3"/>
  <c r="B158" i="3"/>
  <c r="B3504" i="3"/>
  <c r="B3285" i="3"/>
  <c r="B2022" i="3"/>
  <c r="B3242" i="3"/>
  <c r="B1203" i="3"/>
  <c r="B746" i="3"/>
  <c r="B1738" i="3"/>
  <c r="B939" i="3"/>
  <c r="B1016" i="3"/>
  <c r="B2431" i="3"/>
  <c r="B1271" i="3"/>
  <c r="B1312" i="3"/>
  <c r="B50" i="3"/>
  <c r="B2060" i="3"/>
  <c r="B1842" i="3"/>
  <c r="B3365" i="3"/>
  <c r="B59" i="3"/>
  <c r="B870" i="3"/>
  <c r="B3128" i="3"/>
  <c r="B3031" i="3"/>
  <c r="B1278" i="3"/>
  <c r="B1437" i="3"/>
  <c r="B1420" i="3"/>
  <c r="B1564" i="3"/>
  <c r="B1423" i="3"/>
  <c r="B1424" i="3"/>
  <c r="B109" i="3"/>
  <c r="B1411" i="3"/>
  <c r="B1408" i="3"/>
  <c r="B1431" i="3"/>
  <c r="B966" i="3"/>
  <c r="B925" i="3"/>
  <c r="B965" i="3"/>
  <c r="B1324" i="3"/>
  <c r="B331" i="3"/>
  <c r="B530" i="3"/>
  <c r="B2760" i="3"/>
  <c r="B221" i="3"/>
  <c r="B748" i="3"/>
  <c r="B1854" i="3"/>
  <c r="B1748" i="3"/>
  <c r="B279" i="3"/>
  <c r="B3161" i="3"/>
  <c r="B3544" i="3"/>
  <c r="B490" i="3"/>
  <c r="B591" i="3"/>
  <c r="B1258" i="3"/>
  <c r="B633" i="3"/>
  <c r="B1573" i="3"/>
  <c r="B2228" i="3"/>
  <c r="B3274" i="3"/>
  <c r="B1349" i="3"/>
  <c r="B4761" i="3"/>
  <c r="B1232" i="3"/>
  <c r="B2032" i="3"/>
  <c r="B646" i="3"/>
  <c r="B1416" i="3"/>
  <c r="B1171" i="3"/>
  <c r="B3956" i="3"/>
  <c r="B1676" i="3"/>
  <c r="B1428" i="3"/>
  <c r="B1418" i="3"/>
  <c r="B3751" i="3"/>
  <c r="B1673" i="3"/>
  <c r="B1135" i="3"/>
  <c r="B1384" i="3"/>
  <c r="B2572" i="3"/>
  <c r="B3268" i="3"/>
  <c r="B3006" i="3"/>
  <c r="B3371" i="3"/>
  <c r="B1244" i="3"/>
  <c r="B1664" i="3"/>
  <c r="B2004" i="3"/>
  <c r="B3388" i="3"/>
  <c r="B3200" i="3"/>
  <c r="B2668" i="3"/>
  <c r="B3110" i="3"/>
  <c r="B614" i="3"/>
  <c r="B799" i="3"/>
  <c r="B1470" i="3"/>
  <c r="B3243" i="3"/>
  <c r="B1902" i="3"/>
  <c r="B2381" i="3"/>
  <c r="B2458" i="3"/>
  <c r="B737" i="3"/>
  <c r="B3047" i="3"/>
  <c r="B1131" i="3"/>
  <c r="B856" i="3"/>
  <c r="B3552" i="3"/>
  <c r="B4069" i="3"/>
  <c r="B2695" i="3"/>
  <c r="B1183" i="3"/>
  <c r="B4145" i="3"/>
  <c r="B3223" i="3"/>
  <c r="B5214" i="3"/>
  <c r="B2378" i="3"/>
  <c r="B2453" i="3"/>
  <c r="B1595" i="3"/>
  <c r="B64" i="3"/>
  <c r="B1168" i="3"/>
  <c r="B2541" i="3"/>
  <c r="B1970" i="3"/>
  <c r="B2589" i="3"/>
  <c r="B1229" i="3"/>
  <c r="B2841" i="3"/>
  <c r="B1323" i="3"/>
  <c r="B2840" i="3"/>
  <c r="B2791" i="3"/>
  <c r="B956" i="3"/>
  <c r="B1102" i="3"/>
  <c r="B2119" i="3"/>
  <c r="B2666" i="3"/>
  <c r="B3955" i="3"/>
  <c r="B3820" i="3"/>
  <c r="B2103" i="3"/>
  <c r="B3434" i="3"/>
  <c r="B602" i="3"/>
  <c r="B428" i="3"/>
  <c r="B1856" i="3"/>
  <c r="B3940" i="3"/>
  <c r="B1971" i="3"/>
  <c r="B3577" i="3"/>
  <c r="B415" i="3"/>
  <c r="B3612" i="3"/>
  <c r="B634" i="3"/>
  <c r="B2274" i="3"/>
  <c r="B1206" i="3"/>
  <c r="B1226" i="3"/>
  <c r="B3443" i="3"/>
  <c r="B3621" i="3"/>
  <c r="B3366" i="3"/>
  <c r="B3732" i="3"/>
  <c r="B2007" i="3"/>
  <c r="B3546" i="3"/>
  <c r="B3239" i="3"/>
  <c r="B3289" i="3"/>
  <c r="B1977" i="3"/>
  <c r="B3340" i="3"/>
  <c r="B1128" i="3"/>
  <c r="B2360" i="3"/>
  <c r="B822" i="3"/>
  <c r="B2260" i="3"/>
  <c r="B1443" i="3"/>
  <c r="B3472" i="3"/>
  <c r="B1313" i="3"/>
  <c r="B1196" i="3"/>
  <c r="B2016" i="3"/>
  <c r="B374" i="3"/>
  <c r="B759" i="3"/>
  <c r="B2348" i="3"/>
  <c r="B1245" i="3"/>
  <c r="B4244" i="3"/>
  <c r="B2257" i="3"/>
  <c r="B206" i="3"/>
  <c r="B16" i="3"/>
  <c r="B712" i="3"/>
  <c r="B3471" i="3"/>
  <c r="B880" i="3"/>
  <c r="B1642" i="3"/>
  <c r="B1025" i="3"/>
  <c r="B2560" i="3"/>
  <c r="B502" i="3"/>
  <c r="B4020" i="3"/>
  <c r="B1091" i="3"/>
  <c r="B5265" i="3"/>
  <c r="B3839" i="3"/>
  <c r="B3812" i="3"/>
  <c r="B3549" i="3"/>
  <c r="B4024" i="3"/>
  <c r="B1455" i="3"/>
  <c r="B1011" i="3"/>
  <c r="B1484" i="3"/>
  <c r="B90" i="3"/>
  <c r="B1496" i="3"/>
  <c r="B2885" i="3"/>
  <c r="B2571" i="3"/>
  <c r="B2097" i="3"/>
  <c r="B894" i="3"/>
  <c r="B2765" i="3"/>
  <c r="B1330" i="3"/>
  <c r="B1318" i="3"/>
  <c r="B3203" i="3"/>
  <c r="B1592" i="3"/>
  <c r="B518" i="3"/>
  <c r="B1687" i="3"/>
  <c r="B1216" i="3"/>
  <c r="B1315" i="3"/>
  <c r="B1088" i="3"/>
  <c r="B2861" i="3"/>
  <c r="B2025" i="3"/>
  <c r="B909" i="3"/>
  <c r="B2235" i="3"/>
  <c r="B2653" i="3"/>
  <c r="B949" i="3"/>
  <c r="B14" i="3"/>
  <c r="B2325" i="3"/>
  <c r="B3376" i="3"/>
  <c r="B2948" i="3"/>
  <c r="B628" i="3"/>
  <c r="B396" i="3"/>
  <c r="B3849" i="3"/>
  <c r="B2394" i="3"/>
  <c r="B2342" i="3"/>
  <c r="B85" i="3"/>
  <c r="B384" i="3"/>
  <c r="B2796" i="3"/>
  <c r="B3657" i="3"/>
  <c r="B2174" i="3"/>
  <c r="B2171" i="3"/>
  <c r="B2322" i="3"/>
  <c r="B1113" i="3"/>
  <c r="B2346" i="3"/>
  <c r="B4870" i="3"/>
  <c r="B22" i="3"/>
  <c r="B230" i="3"/>
  <c r="B1954" i="3"/>
  <c r="B476" i="3"/>
  <c r="B2481" i="3"/>
  <c r="B3514" i="3"/>
  <c r="B3102" i="3"/>
  <c r="B4002" i="3"/>
  <c r="B1015" i="3"/>
  <c r="B1477" i="3"/>
  <c r="B1511" i="3"/>
  <c r="B2243" i="3"/>
  <c r="B850" i="3"/>
  <c r="B5068" i="3"/>
  <c r="B1087" i="3"/>
  <c r="B4422" i="3"/>
  <c r="B395" i="3"/>
  <c r="B3088" i="3"/>
  <c r="B3853" i="3"/>
  <c r="B436" i="3"/>
  <c r="B3442" i="3"/>
  <c r="B2287" i="3"/>
  <c r="B2261" i="3"/>
  <c r="B2126" i="3"/>
  <c r="B599" i="3"/>
  <c r="B3011" i="3"/>
  <c r="B3702" i="3"/>
  <c r="B924" i="3"/>
  <c r="B929" i="3"/>
  <c r="B2803" i="3"/>
  <c r="B1160" i="3"/>
  <c r="B576" i="3"/>
  <c r="B1042" i="3"/>
  <c r="B3921" i="3"/>
  <c r="B2280" i="3"/>
  <c r="B3089" i="3"/>
  <c r="B3917" i="3"/>
  <c r="B182" i="3"/>
  <c r="B3489" i="3"/>
  <c r="B3341" i="3"/>
  <c r="B2785" i="3"/>
  <c r="B2161" i="3"/>
  <c r="B3515" i="3"/>
  <c r="B3270" i="3"/>
  <c r="B655" i="3"/>
  <c r="B2321" i="3"/>
  <c r="B777" i="3"/>
  <c r="B362" i="3"/>
  <c r="B3648" i="3"/>
  <c r="B3033" i="3"/>
  <c r="B1712" i="3"/>
  <c r="B3945" i="3"/>
  <c r="B1985" i="3"/>
  <c r="B3462" i="3"/>
  <c r="B1427" i="3"/>
  <c r="B2351" i="3"/>
  <c r="B3939" i="3"/>
  <c r="B3850" i="3"/>
  <c r="B3901" i="3"/>
  <c r="B2790" i="3"/>
  <c r="B3629" i="3"/>
  <c r="B1795" i="3"/>
  <c r="B5291" i="3"/>
  <c r="B2375" i="3"/>
  <c r="B2364" i="3"/>
  <c r="B30" i="3"/>
  <c r="B1602" i="3"/>
  <c r="B3595" i="3"/>
  <c r="B355" i="3"/>
  <c r="B5252" i="3"/>
  <c r="B2864" i="3"/>
  <c r="B1543" i="3"/>
  <c r="B2338" i="3"/>
  <c r="B508" i="3"/>
  <c r="B2547" i="3"/>
  <c r="B388" i="3"/>
  <c r="B319" i="3"/>
  <c r="B3591" i="3"/>
  <c r="B2542" i="3"/>
  <c r="B3493" i="3"/>
  <c r="B3391" i="3"/>
  <c r="B2975" i="3"/>
  <c r="B1808" i="3"/>
  <c r="B3401" i="3"/>
  <c r="B344" i="3"/>
  <c r="B2272" i="3"/>
  <c r="B1329" i="3"/>
  <c r="B2167" i="3"/>
  <c r="B792" i="3"/>
  <c r="B1332" i="3"/>
  <c r="B2961" i="3"/>
  <c r="B2187" i="3"/>
  <c r="B2271" i="3"/>
  <c r="B4548" i="3"/>
  <c r="B4549" i="3"/>
  <c r="B2268" i="3"/>
  <c r="B603" i="3"/>
  <c r="B2870" i="3"/>
  <c r="B3683" i="3"/>
  <c r="B5242" i="3"/>
  <c r="B1396" i="3"/>
  <c r="B3678" i="3"/>
  <c r="B3630" i="3"/>
  <c r="B855" i="3"/>
  <c r="B2698" i="3"/>
  <c r="B541" i="3"/>
  <c r="B2058" i="3"/>
  <c r="B853" i="3"/>
  <c r="B159" i="3"/>
  <c r="B2300" i="3"/>
  <c r="B3590" i="3"/>
  <c r="B3176" i="3"/>
  <c r="B2277" i="3"/>
  <c r="B827" i="3"/>
  <c r="B2207" i="3"/>
  <c r="B2612" i="3"/>
  <c r="B4028" i="3"/>
  <c r="B3635" i="3"/>
  <c r="B3631" i="3"/>
  <c r="B3628" i="3"/>
  <c r="B2957" i="3"/>
  <c r="B2955" i="3"/>
  <c r="B3020" i="3"/>
  <c r="B65" i="3"/>
  <c r="B1162" i="3"/>
  <c r="B2754" i="3"/>
  <c r="B2064" i="3"/>
  <c r="B2082" i="3"/>
  <c r="B1421" i="3"/>
  <c r="B1413" i="3"/>
  <c r="B2740" i="3"/>
  <c r="B309" i="3"/>
  <c r="B677" i="3"/>
  <c r="B3005" i="3"/>
  <c r="B443" i="3"/>
  <c r="B1279" i="3"/>
  <c r="B71" i="3"/>
  <c r="B3495" i="3"/>
  <c r="B2048" i="3"/>
  <c r="B4070" i="3"/>
  <c r="B458" i="3"/>
  <c r="B2965" i="3"/>
  <c r="B2621" i="3"/>
  <c r="B2891" i="3"/>
  <c r="B3466" i="3"/>
  <c r="B1208" i="3"/>
  <c r="B3041" i="3"/>
  <c r="B2708" i="3"/>
  <c r="B3132" i="3"/>
  <c r="B1179" i="3"/>
  <c r="B2768" i="3"/>
  <c r="B3634" i="3"/>
  <c r="B3523" i="3"/>
  <c r="B2184" i="3"/>
  <c r="B4288" i="3"/>
  <c r="B340" i="3"/>
  <c r="B743" i="3"/>
  <c r="B2709" i="3"/>
  <c r="B1419" i="3"/>
  <c r="B5110" i="3"/>
  <c r="B2330" i="3"/>
  <c r="B1873" i="3"/>
  <c r="B1133" i="3"/>
  <c r="B2471" i="3"/>
  <c r="B1810" i="3"/>
  <c r="B570" i="3"/>
  <c r="B2586" i="3"/>
  <c r="B4359" i="3"/>
  <c r="B1429" i="3"/>
  <c r="B11" i="3"/>
  <c r="B1836" i="3"/>
  <c r="B1308" i="3"/>
  <c r="B2035" i="3"/>
  <c r="B2469" i="3"/>
  <c r="B3296" i="3"/>
  <c r="B1080" i="3"/>
  <c r="B1114" i="3"/>
  <c r="B933" i="3"/>
  <c r="B3335" i="3"/>
  <c r="B3807" i="3"/>
  <c r="B2594" i="3"/>
  <c r="B2285" i="3"/>
  <c r="B994" i="3"/>
  <c r="B2731" i="3"/>
  <c r="B3193" i="3"/>
  <c r="B1370" i="3"/>
  <c r="B2139" i="3"/>
  <c r="B2095" i="3"/>
  <c r="B1297" i="3"/>
  <c r="B5301" i="3"/>
  <c r="B225" i="3"/>
  <c r="B418" i="3"/>
  <c r="B212" i="3"/>
  <c r="B4059" i="3"/>
  <c r="B859" i="3"/>
  <c r="B811" i="3"/>
  <c r="B2402" i="3"/>
  <c r="B3915" i="3"/>
  <c r="B4086" i="3"/>
  <c r="B2265" i="3"/>
  <c r="B3291" i="3"/>
  <c r="B592" i="3"/>
  <c r="B1984" i="3"/>
  <c r="B3991" i="3"/>
  <c r="B2068" i="3"/>
  <c r="B3961" i="3"/>
  <c r="B464" i="3"/>
  <c r="B3927" i="3"/>
  <c r="B3389" i="3"/>
  <c r="B937" i="3"/>
  <c r="B1959" i="3"/>
  <c r="B3937" i="3"/>
  <c r="B927" i="3"/>
  <c r="B3809" i="3"/>
  <c r="B4982" i="3"/>
  <c r="B644" i="3"/>
  <c r="B1739" i="3"/>
  <c r="B1081" i="3"/>
  <c r="B782" i="3"/>
  <c r="B1809" i="3"/>
  <c r="B678" i="3"/>
  <c r="B3136" i="3"/>
  <c r="B1405" i="3"/>
  <c r="B1435" i="3"/>
  <c r="B3584" i="3"/>
  <c r="B1432" i="3"/>
  <c r="B1403" i="3"/>
  <c r="B2240" i="3"/>
  <c r="B1406" i="3"/>
  <c r="B2014" i="3"/>
  <c r="B1095" i="3"/>
  <c r="B3415" i="3"/>
  <c r="B954" i="3"/>
  <c r="B1236" i="3"/>
  <c r="B2992" i="3"/>
  <c r="B1256" i="3"/>
  <c r="B267" i="3"/>
  <c r="B3383" i="3"/>
  <c r="B1718" i="3"/>
  <c r="B948" i="3"/>
  <c r="B2452" i="3"/>
  <c r="B557" i="3"/>
  <c r="B1163" i="3"/>
  <c r="B1997" i="3"/>
  <c r="B1881" i="3"/>
  <c r="B722" i="3"/>
  <c r="B638" i="3"/>
  <c r="B2764" i="3"/>
  <c r="B2632" i="3"/>
  <c r="B932" i="3"/>
  <c r="B3761" i="3"/>
  <c r="B1907" i="3"/>
  <c r="B2447" i="3"/>
  <c r="B2369" i="3"/>
  <c r="B1098" i="3"/>
  <c r="B3332" i="3"/>
  <c r="B3555" i="3"/>
  <c r="B876" i="3"/>
  <c r="B775" i="3"/>
  <c r="B3010" i="3"/>
  <c r="B5096" i="3"/>
  <c r="B887" i="3"/>
  <c r="B1169" i="3"/>
  <c r="B625" i="3"/>
  <c r="B3488" i="3"/>
  <c r="B829" i="3"/>
  <c r="B2262" i="3"/>
  <c r="B1562" i="3"/>
  <c r="B1132" i="3"/>
  <c r="B1540" i="3"/>
  <c r="B917" i="3"/>
  <c r="B3056" i="3"/>
  <c r="B2138" i="3"/>
  <c r="B4643" i="3"/>
  <c r="B2079" i="3"/>
  <c r="B2241" i="3"/>
  <c r="B562" i="3"/>
  <c r="B520" i="3"/>
  <c r="B1629" i="3"/>
  <c r="B2253" i="3"/>
  <c r="B511" i="3"/>
  <c r="B510" i="3"/>
  <c r="B2552" i="3"/>
  <c r="B3674" i="3"/>
  <c r="B2038" i="3"/>
  <c r="B2655" i="3"/>
  <c r="B679" i="3"/>
  <c r="B1514" i="3"/>
  <c r="B2627" i="3"/>
  <c r="B3396" i="3"/>
  <c r="B2562" i="3"/>
  <c r="B1923" i="3"/>
  <c r="B3021" i="3"/>
  <c r="B915" i="3"/>
  <c r="B308" i="3"/>
  <c r="B1234" i="3"/>
  <c r="B551" i="3"/>
  <c r="B1076" i="3"/>
  <c r="B1754" i="3"/>
  <c r="B1832" i="3"/>
  <c r="B867" i="3"/>
  <c r="B3138" i="3"/>
  <c r="B918" i="3"/>
  <c r="B1903" i="3"/>
  <c r="B1773" i="3"/>
  <c r="B1255" i="3"/>
  <c r="B3974" i="3"/>
  <c r="B1945" i="3"/>
  <c r="B2230" i="3"/>
  <c r="B861" i="3"/>
  <c r="B1430" i="3"/>
  <c r="B1044" i="3"/>
  <c r="B216" i="3"/>
  <c r="B17" i="3"/>
  <c r="B2282" i="3"/>
  <c r="B980" i="3"/>
  <c r="B171" i="3"/>
  <c r="B1314" i="3"/>
  <c r="B981" i="3"/>
  <c r="B526" i="3"/>
  <c r="B375" i="3"/>
  <c r="B3465" i="3"/>
  <c r="B3406" i="3"/>
  <c r="B24" i="3"/>
  <c r="B3044" i="3"/>
  <c r="B3298" i="3"/>
  <c r="B1433" i="3"/>
  <c r="B3619" i="3"/>
  <c r="B643" i="3"/>
  <c r="B3085" i="3"/>
  <c r="B969" i="3"/>
  <c r="B2172" i="3"/>
  <c r="B3655" i="3"/>
  <c r="B2913" i="3"/>
  <c r="B3600" i="3"/>
  <c r="B997" i="3"/>
  <c r="B3059" i="3"/>
  <c r="B2462" i="3"/>
  <c r="B2343" i="3"/>
  <c r="B3819" i="3"/>
  <c r="B5183" i="3"/>
  <c r="B4242" i="3"/>
  <c r="B854" i="3"/>
  <c r="B741" i="3"/>
  <c r="B4630" i="3"/>
  <c r="B432" i="3"/>
  <c r="B2963" i="3"/>
  <c r="B2837" i="3"/>
  <c r="B2784" i="3"/>
  <c r="B1353" i="3"/>
  <c r="B2912" i="3"/>
  <c r="B2505" i="3"/>
  <c r="B2327" i="3"/>
  <c r="B453" i="3"/>
  <c r="B150" i="3"/>
  <c r="B3530" i="3"/>
  <c r="B5296" i="3"/>
  <c r="B188" i="3"/>
  <c r="B318" i="3"/>
  <c r="B1942" i="3"/>
  <c r="B183" i="3"/>
  <c r="B798" i="3"/>
  <c r="B2098" i="3"/>
  <c r="B307" i="3"/>
  <c r="B220" i="3"/>
  <c r="B3587" i="3"/>
  <c r="B682" i="3"/>
  <c r="B4270" i="3"/>
  <c r="B3960" i="3"/>
  <c r="B218" i="3"/>
  <c r="B517" i="3"/>
  <c r="B4780" i="3"/>
  <c r="B1185" i="3"/>
  <c r="B2349" i="3"/>
  <c r="B605" i="3"/>
  <c r="B812" i="3"/>
  <c r="B3040" i="3"/>
  <c r="B1476" i="3"/>
  <c r="B676" i="3"/>
  <c r="B3874" i="3"/>
  <c r="B2045" i="3"/>
  <c r="B348" i="3"/>
  <c r="B3028" i="3"/>
  <c r="B1390" i="3"/>
  <c r="B1248" i="3"/>
  <c r="B3237" i="3"/>
  <c r="B2067" i="3"/>
  <c r="B1048" i="3"/>
  <c r="B1958" i="3"/>
  <c r="B2096" i="3"/>
  <c r="B2416" i="3"/>
  <c r="B947" i="3"/>
  <c r="B394" i="3"/>
  <c r="B3686" i="3"/>
  <c r="B2112" i="3"/>
  <c r="B714" i="3"/>
  <c r="B1001" i="3"/>
  <c r="B3281" i="3"/>
  <c r="B241" i="3"/>
  <c r="B289" i="3"/>
  <c r="B161" i="3"/>
  <c r="B1938" i="3"/>
  <c r="B1868" i="3"/>
  <c r="B3433" i="3"/>
  <c r="B5286" i="3"/>
  <c r="B2189" i="3"/>
  <c r="B2806" i="3"/>
  <c r="B4368" i="3"/>
  <c r="B3482" i="3"/>
  <c r="B752" i="3"/>
  <c r="B3078" i="3"/>
  <c r="B1065" i="3"/>
  <c r="B2229" i="3"/>
  <c r="B1204" i="3"/>
  <c r="B3616" i="3"/>
  <c r="B3426" i="3"/>
  <c r="B3986" i="3"/>
  <c r="B2904" i="3"/>
  <c r="B1570" i="3"/>
  <c r="B957" i="3"/>
  <c r="B3602" i="3"/>
  <c r="B575" i="3"/>
  <c r="B837" i="3"/>
  <c r="B3926" i="3"/>
  <c r="B945" i="3"/>
  <c r="B2044" i="3"/>
  <c r="B1022" i="3"/>
  <c r="B2752" i="3"/>
  <c r="B1650" i="3"/>
  <c r="B3319" i="3"/>
  <c r="B1777" i="3"/>
  <c r="B3456" i="3"/>
  <c r="B4010" i="3"/>
  <c r="B1092" i="3"/>
  <c r="B1214" i="3"/>
  <c r="B1273" i="3"/>
  <c r="B2246" i="3"/>
  <c r="B2905" i="3"/>
  <c r="B964" i="3"/>
  <c r="B996" i="3"/>
  <c r="B2335" i="3"/>
  <c r="B2934" i="3"/>
  <c r="B3276" i="3"/>
  <c r="B3900" i="3"/>
  <c r="B2074" i="3"/>
  <c r="B378" i="3"/>
  <c r="B3624" i="3"/>
  <c r="B2247" i="3"/>
  <c r="B164" i="3"/>
  <c r="B774" i="3"/>
  <c r="B959" i="3"/>
  <c r="B4073" i="3"/>
  <c r="B2304" i="3"/>
  <c r="B3983" i="3"/>
  <c r="B3715" i="3"/>
  <c r="B465" i="3"/>
  <c r="B1767" i="3"/>
  <c r="B3851" i="3"/>
  <c r="B1721" i="3"/>
  <c r="B4265" i="3"/>
  <c r="B1973" i="3"/>
  <c r="B3982" i="3"/>
  <c r="B2366" i="3"/>
  <c r="B899" i="3"/>
  <c r="B3787" i="3"/>
  <c r="B1085" i="3"/>
  <c r="B306" i="3"/>
  <c r="B1521" i="3"/>
  <c r="B3284" i="3"/>
  <c r="B2403" i="3"/>
  <c r="B3870" i="3"/>
  <c r="B1398" i="3"/>
  <c r="B3307" i="3"/>
  <c r="B271" i="3"/>
  <c r="B2939" i="3"/>
  <c r="B2218" i="3"/>
  <c r="B540" i="3"/>
  <c r="B2883" i="3"/>
  <c r="B1340" i="3"/>
  <c r="B2536" i="3"/>
  <c r="B3186" i="3"/>
  <c r="B1639" i="3"/>
  <c r="B4257" i="3"/>
  <c r="B1145" i="3"/>
  <c r="B2066" i="3"/>
  <c r="B1934" i="3"/>
  <c r="B285" i="3"/>
  <c r="B469" i="3"/>
  <c r="B1152" i="3"/>
  <c r="B883" i="3"/>
  <c r="B1161" i="3"/>
  <c r="B2341" i="3"/>
  <c r="B3912" i="3"/>
  <c r="B2122" i="3"/>
  <c r="B2601" i="3"/>
  <c r="B1456" i="3"/>
  <c r="B2807" i="3"/>
  <c r="B2899" i="3"/>
  <c r="B2291" i="3"/>
  <c r="B1453" i="3"/>
  <c r="B2326" i="3"/>
  <c r="B2358" i="3"/>
  <c r="B2798" i="3"/>
  <c r="B3133" i="3"/>
  <c r="B1359" i="3"/>
  <c r="B3836" i="3"/>
  <c r="B419" i="3"/>
  <c r="B3358" i="3"/>
  <c r="B3226" i="3"/>
  <c r="B580" i="3"/>
  <c r="B261" i="3"/>
  <c r="B1198" i="3"/>
  <c r="B5297" i="3"/>
  <c r="B920" i="3"/>
  <c r="B3529" i="3"/>
  <c r="B4026" i="3"/>
  <c r="B2202" i="3"/>
  <c r="B2118" i="3"/>
  <c r="B979" i="3"/>
  <c r="B2498" i="3"/>
  <c r="B1924" i="3"/>
  <c r="B1309" i="3"/>
  <c r="B2660" i="3"/>
  <c r="B149" i="3"/>
  <c r="B1445" i="3"/>
  <c r="B2519" i="3"/>
  <c r="B42" i="3"/>
  <c r="B2034" i="3"/>
  <c r="B3479" i="3"/>
  <c r="B2069" i="3"/>
  <c r="B2156" i="3"/>
  <c r="B368" i="3"/>
  <c r="B226" i="3"/>
  <c r="B209" i="3"/>
  <c r="B2140" i="3"/>
  <c r="B2995" i="3"/>
  <c r="B852" i="3"/>
  <c r="B2925" i="3"/>
  <c r="B2497" i="3"/>
  <c r="B2584" i="3"/>
  <c r="B2010" i="3"/>
  <c r="B1575" i="3"/>
  <c r="B3356" i="3"/>
  <c r="B123" i="3"/>
  <c r="B2108" i="3"/>
  <c r="B4319" i="3"/>
  <c r="B3677" i="3"/>
  <c r="B983" i="3"/>
  <c r="B2507" i="3"/>
  <c r="B629" i="3"/>
  <c r="B3708" i="3"/>
  <c r="B379" i="3"/>
  <c r="B900" i="3"/>
  <c r="B1758" i="3"/>
  <c r="B3032" i="3"/>
  <c r="B1969" i="3"/>
  <c r="B3936" i="3"/>
  <c r="B3617" i="3"/>
  <c r="B3564" i="3"/>
  <c r="B4219" i="3"/>
  <c r="B1743" i="3"/>
  <c r="B2484" i="3"/>
  <c r="B1542" i="3"/>
  <c r="B1434" i="3"/>
  <c r="B1557" i="3"/>
  <c r="B1415" i="3"/>
  <c r="B1475" i="3"/>
  <c r="B609" i="3"/>
  <c r="B1401" i="3"/>
  <c r="B487" i="3"/>
  <c r="B1689" i="3"/>
  <c r="B1193" i="3"/>
  <c r="B2012" i="3"/>
  <c r="B81" i="3"/>
  <c r="B100" i="3"/>
  <c r="B1705" i="3"/>
  <c r="B4245" i="3"/>
  <c r="B2515" i="3"/>
  <c r="B515" i="3"/>
  <c r="B3872" i="3"/>
  <c r="B3816" i="3"/>
  <c r="B2270" i="3"/>
  <c r="B3074" i="3"/>
  <c r="B2352" i="3"/>
  <c r="B4450" i="3"/>
  <c r="B2344" i="3"/>
  <c r="B1099" i="3"/>
  <c r="B3395" i="3"/>
  <c r="B1444" i="3"/>
  <c r="B1454" i="3"/>
  <c r="B1230" i="3"/>
  <c r="B2379" i="3"/>
  <c r="B38" i="3"/>
  <c r="B299" i="3"/>
  <c r="B1296" i="3"/>
  <c r="B1276" i="3"/>
  <c r="B1752" i="3"/>
  <c r="B2658" i="3"/>
  <c r="B1310" i="3"/>
  <c r="B1889" i="3"/>
  <c r="B2517" i="3"/>
  <c r="B2146" i="3"/>
  <c r="B1417" i="3"/>
  <c r="B813" i="3"/>
  <c r="B617" i="3"/>
  <c r="B1883" i="3"/>
  <c r="B555" i="3"/>
  <c r="B717" i="3"/>
  <c r="B5284" i="3"/>
  <c r="B2023" i="3"/>
  <c r="B1829" i="3"/>
  <c r="B5179" i="3"/>
  <c r="B2284" i="3"/>
  <c r="B483" i="3"/>
  <c r="B407" i="3"/>
  <c r="B367" i="3"/>
  <c r="B2630" i="3"/>
  <c r="B713" i="3"/>
  <c r="B3594" i="3"/>
  <c r="B3051" i="3"/>
  <c r="B2474" i="3"/>
  <c r="B4065" i="3"/>
  <c r="B1105" i="3"/>
  <c r="B2087" i="3"/>
  <c r="B1341" i="3"/>
  <c r="B4049" i="3"/>
  <c r="B132" i="3"/>
  <c r="B800" i="3"/>
  <c r="B795" i="3"/>
  <c r="B848" i="3"/>
  <c r="B3984" i="3"/>
  <c r="B4389" i="3"/>
  <c r="B4015" i="3"/>
  <c r="B3607" i="3"/>
  <c r="B3421" i="3"/>
  <c r="B815" i="3"/>
  <c r="B1397" i="3"/>
  <c r="B1409" i="3"/>
  <c r="B1446" i="3"/>
  <c r="B255" i="3"/>
  <c r="B2181" i="3"/>
  <c r="B5293" i="3"/>
  <c r="B532" i="3"/>
  <c r="B3724" i="3"/>
  <c r="B5292" i="3"/>
  <c r="B3123" i="3"/>
  <c r="B4914" i="3"/>
  <c r="B2125" i="3"/>
  <c r="B1487" i="3"/>
  <c r="B2675" i="3"/>
  <c r="B3738" i="3"/>
  <c r="B3835" i="3"/>
  <c r="B124" i="3"/>
  <c r="B967" i="3"/>
  <c r="B2787" i="3"/>
  <c r="B2855" i="3"/>
  <c r="B31" i="3"/>
  <c r="B2823" i="3"/>
  <c r="B4456" i="3"/>
  <c r="B4739" i="3"/>
  <c r="B3879" i="3"/>
  <c r="B4501" i="3"/>
  <c r="B5021" i="3"/>
  <c r="B3840" i="3"/>
  <c r="B4830" i="3"/>
  <c r="B4640" i="3"/>
  <c r="B4905" i="3"/>
  <c r="B168" i="3"/>
  <c r="B1517" i="3"/>
  <c r="B656" i="3"/>
  <c r="B3589" i="3"/>
  <c r="B2149" i="3"/>
  <c r="B3180" i="3"/>
  <c r="B5275" i="3"/>
  <c r="B539" i="3"/>
  <c r="B4824" i="3"/>
  <c r="B3294" i="3"/>
  <c r="B3155" i="3"/>
  <c r="B707" i="3"/>
  <c r="B2743" i="3"/>
  <c r="B1205" i="3"/>
  <c r="B1952" i="3"/>
  <c r="B2835" i="3"/>
  <c r="B2120" i="3"/>
  <c r="B232" i="3"/>
  <c r="B4891" i="3"/>
  <c r="B3747" i="3"/>
  <c r="B3234" i="3"/>
  <c r="B2340" i="3"/>
  <c r="B4178" i="3"/>
  <c r="B3664" i="3"/>
  <c r="B5132" i="3"/>
  <c r="B1707" i="3"/>
  <c r="B3605" i="3"/>
  <c r="B3869" i="3"/>
  <c r="B4228" i="3"/>
  <c r="B1192" i="3"/>
  <c r="B4433" i="3"/>
  <c r="B619" i="3"/>
  <c r="B1100" i="3"/>
  <c r="B3601" i="3"/>
  <c r="B3764" i="3"/>
  <c r="B2478" i="3"/>
  <c r="B3929" i="3"/>
  <c r="B577" i="3"/>
  <c r="B2909" i="3"/>
  <c r="B2527" i="3"/>
  <c r="B4792" i="3"/>
  <c r="B1548" i="3"/>
  <c r="B5190" i="3"/>
  <c r="B910" i="3"/>
  <c r="B911" i="3"/>
  <c r="B281" i="3"/>
  <c r="B931" i="3"/>
  <c r="B4017" i="3"/>
  <c r="B4429" i="3"/>
  <c r="B3875" i="3"/>
  <c r="B5288" i="3"/>
  <c r="B3640" i="3"/>
  <c r="B2203" i="3"/>
  <c r="B1149" i="3"/>
  <c r="B3620" i="3"/>
  <c r="B1529" i="3"/>
  <c r="B3585" i="3"/>
  <c r="B568" i="3"/>
  <c r="B4733" i="3"/>
  <c r="B4023" i="3"/>
  <c r="B1499" i="3"/>
  <c r="B3908" i="3"/>
  <c r="B4873" i="3"/>
  <c r="B3914" i="3"/>
  <c r="B3618" i="3"/>
  <c r="B3966" i="3"/>
  <c r="B3897" i="3"/>
  <c r="B3977" i="3"/>
  <c r="B5253" i="3"/>
  <c r="B879" i="3"/>
  <c r="B3562" i="3"/>
  <c r="B3950" i="3"/>
  <c r="B3583" i="3"/>
  <c r="B5299" i="3"/>
  <c r="B3919" i="3"/>
  <c r="B3962" i="3"/>
  <c r="B3913" i="3"/>
  <c r="B3975" i="3"/>
  <c r="B4453" i="3"/>
  <c r="B912" i="3"/>
  <c r="B3614" i="3"/>
  <c r="B3824" i="3"/>
  <c r="B4041" i="3"/>
  <c r="B3963" i="3"/>
  <c r="B889" i="3"/>
  <c r="B3878" i="3"/>
  <c r="B4006" i="3"/>
  <c r="B564" i="3"/>
  <c r="B5295" i="3"/>
  <c r="B1194" i="3"/>
  <c r="B1346" i="3"/>
  <c r="B3615" i="3"/>
  <c r="B3887" i="3"/>
  <c r="B3930" i="3"/>
  <c r="B3909" i="3"/>
  <c r="B3907" i="3"/>
  <c r="B3944" i="3"/>
  <c r="B3973" i="3"/>
  <c r="B3903" i="3"/>
  <c r="B3876" i="3"/>
  <c r="B2293" i="3"/>
  <c r="B2631" i="3"/>
  <c r="B938" i="3"/>
  <c r="B1888" i="3"/>
  <c r="B3825" i="3"/>
  <c r="B3932" i="3"/>
  <c r="B2339" i="3"/>
  <c r="B873" i="3"/>
  <c r="B4007" i="3"/>
  <c r="B3547" i="3"/>
  <c r="B4029" i="3"/>
  <c r="B1159" i="3"/>
  <c r="B1125" i="3"/>
  <c r="B754" i="3"/>
  <c r="B4523" i="3"/>
  <c r="B4118" i="3"/>
  <c r="B4080" i="3"/>
  <c r="B2162" i="3"/>
  <c r="B79" i="3"/>
  <c r="B5046" i="3"/>
  <c r="B15" i="3"/>
  <c r="B1489" i="3"/>
  <c r="B3375" i="3"/>
  <c r="B4862" i="3"/>
  <c r="B26" i="3"/>
  <c r="B2182" i="3"/>
  <c r="B4952" i="3"/>
  <c r="B659" i="3"/>
  <c r="B3252" i="3"/>
  <c r="B5197" i="3"/>
  <c r="B5152" i="3"/>
  <c r="B2222" i="3"/>
  <c r="B1576" i="3"/>
  <c r="B1057" i="3"/>
  <c r="B1646" i="3"/>
  <c r="B1661" i="3"/>
  <c r="B645" i="3"/>
  <c r="B4618" i="3"/>
  <c r="B4650" i="3"/>
  <c r="B1441" i="3"/>
  <c r="B1533" i="3"/>
  <c r="B1678" i="3"/>
  <c r="B3463" i="3"/>
  <c r="B116" i="3"/>
  <c r="B4957" i="3"/>
  <c r="B4983" i="3"/>
  <c r="B3656" i="3"/>
  <c r="B3689" i="3"/>
  <c r="B2900" i="3"/>
  <c r="B3459" i="3"/>
  <c r="B3604" i="3"/>
  <c r="B2593" i="3"/>
  <c r="B500" i="3"/>
  <c r="B3606" i="3"/>
  <c r="B1585" i="3"/>
  <c r="B4304" i="3"/>
  <c r="B3858" i="3"/>
  <c r="B1987" i="3"/>
  <c r="B2057" i="3"/>
  <c r="B1014" i="3"/>
  <c r="B4156" i="3"/>
  <c r="B3700" i="3"/>
  <c r="B1949" i="3"/>
  <c r="B1719" i="3"/>
  <c r="B2076" i="3"/>
  <c r="B2691" i="3"/>
  <c r="B758" i="3"/>
  <c r="B710" i="3"/>
  <c r="B2192" i="3"/>
  <c r="B244" i="3"/>
  <c r="B1483" i="3"/>
  <c r="B1498" i="3"/>
  <c r="B1497" i="3"/>
  <c r="B1448" i="3"/>
  <c r="B1480" i="3"/>
  <c r="B3142" i="3"/>
  <c r="B3695" i="3"/>
  <c r="B2808" i="3"/>
  <c r="B3053" i="3"/>
  <c r="B2773" i="3"/>
  <c r="B2622" i="3"/>
  <c r="B935" i="3"/>
  <c r="B2717" i="3"/>
  <c r="B1621" i="3"/>
  <c r="B2531" i="3"/>
  <c r="B1202" i="3"/>
  <c r="B1027" i="3"/>
  <c r="B3141" i="3"/>
  <c r="B2489" i="3"/>
  <c r="B4000" i="3"/>
  <c r="B328" i="3"/>
  <c r="B2046" i="3"/>
  <c r="B2083" i="3"/>
  <c r="B2972" i="3"/>
  <c r="B3911" i="3"/>
  <c r="B2215" i="3"/>
  <c r="B2645" i="3"/>
  <c r="B2733" i="3"/>
  <c r="B1569" i="3"/>
</calcChain>
</file>

<file path=xl/sharedStrings.xml><?xml version="1.0" encoding="utf-8"?>
<sst xmlns="http://schemas.openxmlformats.org/spreadsheetml/2006/main" count="27" uniqueCount="21">
  <si>
    <t>ΑΣΕΠ
Β΄ΔΙΕΥΘΥΝΣΗ ΕΠΙΛΟΓΗΣ ΠΡΟΣΩΠΙΚΟΥ</t>
  </si>
  <si>
    <t>A/A</t>
  </si>
  <si>
    <t>ΠΡΟΚΗΡΥΞΗ 4Κ/2020 - ΚΑΤΗΓΟΡΙΕΣ ΔΕ/ΥΕ
ΠΡΟΣΚΛΗΣΗ ΥΠΟΨΗΦΙΩΝ ΓΙΑ ΥΠΟΒΟΛΗ ΔΙΚΑΙΟΛΟΓΗΤΙΚΩΝ</t>
  </si>
  <si>
    <t>ΠΡΟΚΗΡΥΞΗ 4Κ/2020 - ΚΑΤΗΓΟΡΙΑ ΠΕ
ΠΡΟΣΚΛΗΣΗ ΥΠΟΨΗΦΙΩΝ ΓΙΑ ΥΠΟΒΟΛΗ ΔΙΚΑΙΟΛΟΓΗΤΙΚΩΝ</t>
  </si>
  <si>
    <t>ΜΟΝΑΔΙΚΟΣ ΚΩΔΙΚΟΣ</t>
  </si>
  <si>
    <t>00127330</t>
  </si>
  <si>
    <t>00416191</t>
  </si>
  <si>
    <t>00668405</t>
  </si>
  <si>
    <t>00709340</t>
  </si>
  <si>
    <t>00199105</t>
  </si>
  <si>
    <t>00024913</t>
  </si>
  <si>
    <t>00409882</t>
  </si>
  <si>
    <t>00666996</t>
  </si>
  <si>
    <t>00708506</t>
  </si>
  <si>
    <t>00293044</t>
  </si>
  <si>
    <t>00401882</t>
  </si>
  <si>
    <t>00291762</t>
  </si>
  <si>
    <t>00682977</t>
  </si>
  <si>
    <t>00668329</t>
  </si>
  <si>
    <t>00566874</t>
  </si>
  <si>
    <t>ΠΡΟΚΗΡΥΞΗ 4Κ/2020 - ΚΑΤΗΓΟΡΙΑ TΕ
ΠΡΟΣΚΛΗΣΗ ΥΠΟΨΗΦΙΩΝ ΓΙΑ ΥΠΟΒΟΛΗ ΔΙΚΑΙΟΛΟΓΗΤΙΚΩΝ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</si>
</sst>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Fill="1"/>
    <xf numFmtId="49" fontId="0" fillId="0" borderId="1" xfId="0" applyNumberForma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8"/>
  <sheetViews>
    <sheetView tabSelected="1" workbookViewId="0">
      <selection sqref="A1:B1"/>
    </sheetView>
  </sheetViews>
  <sheetFormatPr defaultRowHeight="15" x14ac:dyDescent="0.25"/>
  <cols>
    <col min="1" max="1" width="7.7109375" style="2" customWidth="1"/>
    <col min="2" max="2" width="30.28515625" style="2" customWidth="1"/>
  </cols>
  <sheetData>
    <row r="1" spans="1:2" ht="35.25" customHeight="1" x14ac:dyDescent="0.25">
      <c r="A1" s="12" t="s">
        <v>0</v>
      </c>
      <c r="B1" s="13"/>
    </row>
    <row r="2" spans="1:2" ht="18" customHeight="1" x14ac:dyDescent="0.25">
      <c r="A2" s="11"/>
      <c r="B2" s="6"/>
    </row>
    <row r="3" spans="1:2" ht="60.75" customHeight="1" x14ac:dyDescent="0.25">
      <c r="A3" s="14" t="s">
        <v>3</v>
      </c>
      <c r="B3" s="15"/>
    </row>
    <row r="4" spans="1:2" ht="15.75" customHeight="1" x14ac:dyDescent="0.25">
      <c r="A4" s="7"/>
      <c r="B4" s="8"/>
    </row>
    <row r="5" spans="1:2" ht="30.75" customHeight="1" x14ac:dyDescent="0.25">
      <c r="A5" s="1" t="s">
        <v>1</v>
      </c>
      <c r="B5" s="1" t="s">
        <v>4</v>
      </c>
    </row>
    <row r="6" spans="1:2" ht="15.75" customHeight="1" x14ac:dyDescent="0.25">
      <c r="A6" s="3">
        <v>1</v>
      </c>
      <c r="B6" s="3" t="str">
        <f>"00001415"</f>
        <v>00001415</v>
      </c>
    </row>
    <row r="7" spans="1:2" x14ac:dyDescent="0.25">
      <c r="A7" s="3">
        <v>2</v>
      </c>
      <c r="B7" s="3" t="str">
        <f>"00001734"</f>
        <v>00001734</v>
      </c>
    </row>
    <row r="8" spans="1:2" x14ac:dyDescent="0.25">
      <c r="A8" s="3">
        <v>3</v>
      </c>
      <c r="B8" s="3" t="str">
        <f>"00001811"</f>
        <v>00001811</v>
      </c>
    </row>
    <row r="9" spans="1:2" x14ac:dyDescent="0.25">
      <c r="A9" s="3">
        <v>4</v>
      </c>
      <c r="B9" s="3" t="str">
        <f>"00002189"</f>
        <v>00002189</v>
      </c>
    </row>
    <row r="10" spans="1:2" x14ac:dyDescent="0.25">
      <c r="A10" s="3">
        <v>5</v>
      </c>
      <c r="B10" s="3" t="str">
        <f>"00002203"</f>
        <v>00002203</v>
      </c>
    </row>
    <row r="11" spans="1:2" x14ac:dyDescent="0.25">
      <c r="A11" s="3">
        <v>6</v>
      </c>
      <c r="B11" s="3" t="str">
        <f>"00002224"</f>
        <v>00002224</v>
      </c>
    </row>
    <row r="12" spans="1:2" x14ac:dyDescent="0.25">
      <c r="A12" s="3">
        <v>7</v>
      </c>
      <c r="B12" s="3" t="str">
        <f>"00002274"</f>
        <v>00002274</v>
      </c>
    </row>
    <row r="13" spans="1:2" x14ac:dyDescent="0.25">
      <c r="A13" s="3">
        <v>8</v>
      </c>
      <c r="B13" s="3" t="str">
        <f>"00003051"</f>
        <v>00003051</v>
      </c>
    </row>
    <row r="14" spans="1:2" x14ac:dyDescent="0.25">
      <c r="A14" s="3">
        <v>9</v>
      </c>
      <c r="B14" s="3" t="str">
        <f>"00003593"</f>
        <v>00003593</v>
      </c>
    </row>
    <row r="15" spans="1:2" x14ac:dyDescent="0.25">
      <c r="A15" s="3">
        <v>10</v>
      </c>
      <c r="B15" s="3" t="str">
        <f>"00003769"</f>
        <v>00003769</v>
      </c>
    </row>
    <row r="16" spans="1:2" x14ac:dyDescent="0.25">
      <c r="A16" s="3">
        <v>11</v>
      </c>
      <c r="B16" s="3" t="str">
        <f>"00004433"</f>
        <v>00004433</v>
      </c>
    </row>
    <row r="17" spans="1:2" x14ac:dyDescent="0.25">
      <c r="A17" s="3">
        <v>12</v>
      </c>
      <c r="B17" s="3" t="str">
        <f>"00004502"</f>
        <v>00004502</v>
      </c>
    </row>
    <row r="18" spans="1:2" x14ac:dyDescent="0.25">
      <c r="A18" s="3">
        <v>13</v>
      </c>
      <c r="B18" s="3" t="str">
        <f>"00005315"</f>
        <v>00005315</v>
      </c>
    </row>
    <row r="19" spans="1:2" x14ac:dyDescent="0.25">
      <c r="A19" s="3">
        <v>14</v>
      </c>
      <c r="B19" s="3" t="str">
        <f>"00005844"</f>
        <v>00005844</v>
      </c>
    </row>
    <row r="20" spans="1:2" x14ac:dyDescent="0.25">
      <c r="A20" s="3">
        <v>15</v>
      </c>
      <c r="B20" s="3" t="str">
        <f>"00005991"</f>
        <v>00005991</v>
      </c>
    </row>
    <row r="21" spans="1:2" x14ac:dyDescent="0.25">
      <c r="A21" s="3">
        <v>16</v>
      </c>
      <c r="B21" s="3" t="str">
        <f>"00006116"</f>
        <v>00006116</v>
      </c>
    </row>
    <row r="22" spans="1:2" x14ac:dyDescent="0.25">
      <c r="A22" s="3">
        <v>17</v>
      </c>
      <c r="B22" s="3" t="str">
        <f>"00007171"</f>
        <v>00007171</v>
      </c>
    </row>
    <row r="23" spans="1:2" x14ac:dyDescent="0.25">
      <c r="A23" s="3">
        <v>18</v>
      </c>
      <c r="B23" s="3" t="str">
        <f>"00010829"</f>
        <v>00010829</v>
      </c>
    </row>
    <row r="24" spans="1:2" x14ac:dyDescent="0.25">
      <c r="A24" s="3">
        <v>19</v>
      </c>
      <c r="B24" s="3" t="str">
        <f>"00010967"</f>
        <v>00010967</v>
      </c>
    </row>
    <row r="25" spans="1:2" x14ac:dyDescent="0.25">
      <c r="A25" s="3">
        <v>20</v>
      </c>
      <c r="B25" s="3" t="str">
        <f>"00011560"</f>
        <v>00011560</v>
      </c>
    </row>
    <row r="26" spans="1:2" x14ac:dyDescent="0.25">
      <c r="A26" s="3">
        <v>21</v>
      </c>
      <c r="B26" s="3" t="str">
        <f>"00011880"</f>
        <v>00011880</v>
      </c>
    </row>
    <row r="27" spans="1:2" x14ac:dyDescent="0.25">
      <c r="A27" s="3">
        <v>22</v>
      </c>
      <c r="B27" s="3" t="str">
        <f>"00012118"</f>
        <v>00012118</v>
      </c>
    </row>
    <row r="28" spans="1:2" x14ac:dyDescent="0.25">
      <c r="A28" s="3">
        <v>23</v>
      </c>
      <c r="B28" s="3" t="str">
        <f>"00012433"</f>
        <v>00012433</v>
      </c>
    </row>
    <row r="29" spans="1:2" x14ac:dyDescent="0.25">
      <c r="A29" s="3">
        <v>24</v>
      </c>
      <c r="B29" s="3" t="str">
        <f>"00012500"</f>
        <v>00012500</v>
      </c>
    </row>
    <row r="30" spans="1:2" x14ac:dyDescent="0.25">
      <c r="A30" s="3">
        <v>25</v>
      </c>
      <c r="B30" s="3" t="str">
        <f>"00012516"</f>
        <v>00012516</v>
      </c>
    </row>
    <row r="31" spans="1:2" x14ac:dyDescent="0.25">
      <c r="A31" s="3">
        <v>26</v>
      </c>
      <c r="B31" s="3" t="str">
        <f>"00012580"</f>
        <v>00012580</v>
      </c>
    </row>
    <row r="32" spans="1:2" x14ac:dyDescent="0.25">
      <c r="A32" s="3">
        <v>27</v>
      </c>
      <c r="B32" s="3" t="str">
        <f>"00012940"</f>
        <v>00012940</v>
      </c>
    </row>
    <row r="33" spans="1:2" x14ac:dyDescent="0.25">
      <c r="A33" s="3">
        <v>28</v>
      </c>
      <c r="B33" s="3" t="str">
        <f>"00013060"</f>
        <v>00013060</v>
      </c>
    </row>
    <row r="34" spans="1:2" x14ac:dyDescent="0.25">
      <c r="A34" s="3">
        <v>29</v>
      </c>
      <c r="B34" s="3" t="str">
        <f>"00013374"</f>
        <v>00013374</v>
      </c>
    </row>
    <row r="35" spans="1:2" x14ac:dyDescent="0.25">
      <c r="A35" s="3">
        <v>30</v>
      </c>
      <c r="B35" s="3" t="str">
        <f>"00013438"</f>
        <v>00013438</v>
      </c>
    </row>
    <row r="36" spans="1:2" x14ac:dyDescent="0.25">
      <c r="A36" s="3">
        <v>31</v>
      </c>
      <c r="B36" s="3" t="str">
        <f>"00014413"</f>
        <v>00014413</v>
      </c>
    </row>
    <row r="37" spans="1:2" x14ac:dyDescent="0.25">
      <c r="A37" s="3">
        <v>32</v>
      </c>
      <c r="B37" s="3" t="str">
        <f>"00014455"</f>
        <v>00014455</v>
      </c>
    </row>
    <row r="38" spans="1:2" x14ac:dyDescent="0.25">
      <c r="A38" s="3">
        <v>33</v>
      </c>
      <c r="B38" s="3" t="str">
        <f>"00015148"</f>
        <v>00015148</v>
      </c>
    </row>
    <row r="39" spans="1:2" x14ac:dyDescent="0.25">
      <c r="A39" s="3">
        <v>34</v>
      </c>
      <c r="B39" s="3" t="str">
        <f>"00015546"</f>
        <v>00015546</v>
      </c>
    </row>
    <row r="40" spans="1:2" x14ac:dyDescent="0.25">
      <c r="A40" s="3">
        <v>35</v>
      </c>
      <c r="B40" s="3" t="str">
        <f>"00015725"</f>
        <v>00015725</v>
      </c>
    </row>
    <row r="41" spans="1:2" x14ac:dyDescent="0.25">
      <c r="A41" s="3">
        <v>36</v>
      </c>
      <c r="B41" s="3" t="str">
        <f>"00015852"</f>
        <v>00015852</v>
      </c>
    </row>
    <row r="42" spans="1:2" x14ac:dyDescent="0.25">
      <c r="A42" s="3">
        <v>37</v>
      </c>
      <c r="B42" s="3" t="str">
        <f>"00016155"</f>
        <v>00016155</v>
      </c>
    </row>
    <row r="43" spans="1:2" x14ac:dyDescent="0.25">
      <c r="A43" s="3">
        <v>38</v>
      </c>
      <c r="B43" s="3" t="str">
        <f>"00016207"</f>
        <v>00016207</v>
      </c>
    </row>
    <row r="44" spans="1:2" x14ac:dyDescent="0.25">
      <c r="A44" s="3">
        <v>39</v>
      </c>
      <c r="B44" s="3" t="str">
        <f>"00016283"</f>
        <v>00016283</v>
      </c>
    </row>
    <row r="45" spans="1:2" x14ac:dyDescent="0.25">
      <c r="A45" s="3">
        <v>40</v>
      </c>
      <c r="B45" s="3" t="str">
        <f>"00016335"</f>
        <v>00016335</v>
      </c>
    </row>
    <row r="46" spans="1:2" x14ac:dyDescent="0.25">
      <c r="A46" s="3">
        <v>41</v>
      </c>
      <c r="B46" s="3" t="str">
        <f>"00016555"</f>
        <v>00016555</v>
      </c>
    </row>
    <row r="47" spans="1:2" x14ac:dyDescent="0.25">
      <c r="A47" s="3">
        <v>42</v>
      </c>
      <c r="B47" s="3" t="str">
        <f>"00016566"</f>
        <v>00016566</v>
      </c>
    </row>
    <row r="48" spans="1:2" x14ac:dyDescent="0.25">
      <c r="A48" s="3">
        <v>43</v>
      </c>
      <c r="B48" s="3" t="str">
        <f>"00016645"</f>
        <v>00016645</v>
      </c>
    </row>
    <row r="49" spans="1:2" x14ac:dyDescent="0.25">
      <c r="A49" s="3">
        <v>44</v>
      </c>
      <c r="B49" s="3" t="str">
        <f>"00016739"</f>
        <v>00016739</v>
      </c>
    </row>
    <row r="50" spans="1:2" x14ac:dyDescent="0.25">
      <c r="A50" s="3">
        <v>45</v>
      </c>
      <c r="B50" s="3" t="str">
        <f>"00016842"</f>
        <v>00016842</v>
      </c>
    </row>
    <row r="51" spans="1:2" x14ac:dyDescent="0.25">
      <c r="A51" s="3">
        <v>46</v>
      </c>
      <c r="B51" s="3" t="str">
        <f>"00016915"</f>
        <v>00016915</v>
      </c>
    </row>
    <row r="52" spans="1:2" x14ac:dyDescent="0.25">
      <c r="A52" s="3">
        <v>47</v>
      </c>
      <c r="B52" s="3" t="str">
        <f>"00016920"</f>
        <v>00016920</v>
      </c>
    </row>
    <row r="53" spans="1:2" x14ac:dyDescent="0.25">
      <c r="A53" s="3">
        <v>48</v>
      </c>
      <c r="B53" s="3" t="str">
        <f>"00016925"</f>
        <v>00016925</v>
      </c>
    </row>
    <row r="54" spans="1:2" x14ac:dyDescent="0.25">
      <c r="A54" s="3">
        <v>49</v>
      </c>
      <c r="B54" s="3" t="str">
        <f>"00017052"</f>
        <v>00017052</v>
      </c>
    </row>
    <row r="55" spans="1:2" x14ac:dyDescent="0.25">
      <c r="A55" s="3">
        <v>50</v>
      </c>
      <c r="B55" s="3" t="str">
        <f>"00017076"</f>
        <v>00017076</v>
      </c>
    </row>
    <row r="56" spans="1:2" x14ac:dyDescent="0.25">
      <c r="A56" s="3">
        <v>51</v>
      </c>
      <c r="B56" s="3" t="str">
        <f>"00017257"</f>
        <v>00017257</v>
      </c>
    </row>
    <row r="57" spans="1:2" x14ac:dyDescent="0.25">
      <c r="A57" s="3">
        <v>52</v>
      </c>
      <c r="B57" s="3" t="str">
        <f>"00017677"</f>
        <v>00017677</v>
      </c>
    </row>
    <row r="58" spans="1:2" x14ac:dyDescent="0.25">
      <c r="A58" s="3">
        <v>53</v>
      </c>
      <c r="B58" s="3" t="str">
        <f>"00017681"</f>
        <v>00017681</v>
      </c>
    </row>
    <row r="59" spans="1:2" x14ac:dyDescent="0.25">
      <c r="A59" s="3">
        <v>54</v>
      </c>
      <c r="B59" s="3" t="str">
        <f>"00017794"</f>
        <v>00017794</v>
      </c>
    </row>
    <row r="60" spans="1:2" x14ac:dyDescent="0.25">
      <c r="A60" s="3">
        <v>55</v>
      </c>
      <c r="B60" s="3" t="str">
        <f>"00017910"</f>
        <v>00017910</v>
      </c>
    </row>
    <row r="61" spans="1:2" x14ac:dyDescent="0.25">
      <c r="A61" s="3">
        <v>56</v>
      </c>
      <c r="B61" s="3" t="str">
        <f>"00017949"</f>
        <v>00017949</v>
      </c>
    </row>
    <row r="62" spans="1:2" x14ac:dyDescent="0.25">
      <c r="A62" s="3">
        <v>57</v>
      </c>
      <c r="B62" s="3" t="str">
        <f>"00017968"</f>
        <v>00017968</v>
      </c>
    </row>
    <row r="63" spans="1:2" x14ac:dyDescent="0.25">
      <c r="A63" s="3">
        <v>58</v>
      </c>
      <c r="B63" s="3" t="str">
        <f>"00018123"</f>
        <v>00018123</v>
      </c>
    </row>
    <row r="64" spans="1:2" x14ac:dyDescent="0.25">
      <c r="A64" s="3">
        <v>59</v>
      </c>
      <c r="B64" s="3" t="str">
        <f>"00018208"</f>
        <v>00018208</v>
      </c>
    </row>
    <row r="65" spans="1:2" x14ac:dyDescent="0.25">
      <c r="A65" s="3">
        <v>60</v>
      </c>
      <c r="B65" s="3" t="str">
        <f>"00018213"</f>
        <v>00018213</v>
      </c>
    </row>
    <row r="66" spans="1:2" x14ac:dyDescent="0.25">
      <c r="A66" s="3">
        <v>61</v>
      </c>
      <c r="B66" s="3" t="str">
        <f>"00018247"</f>
        <v>00018247</v>
      </c>
    </row>
    <row r="67" spans="1:2" x14ac:dyDescent="0.25">
      <c r="A67" s="3">
        <v>62</v>
      </c>
      <c r="B67" s="3" t="str">
        <f>"00018433"</f>
        <v>00018433</v>
      </c>
    </row>
    <row r="68" spans="1:2" x14ac:dyDescent="0.25">
      <c r="A68" s="3">
        <v>63</v>
      </c>
      <c r="B68" s="3" t="str">
        <f>"00018853"</f>
        <v>00018853</v>
      </c>
    </row>
    <row r="69" spans="1:2" x14ac:dyDescent="0.25">
      <c r="A69" s="3">
        <v>64</v>
      </c>
      <c r="B69" s="3" t="str">
        <f>"00018924"</f>
        <v>00018924</v>
      </c>
    </row>
    <row r="70" spans="1:2" x14ac:dyDescent="0.25">
      <c r="A70" s="3">
        <v>65</v>
      </c>
      <c r="B70" s="3" t="str">
        <f>"00018927"</f>
        <v>00018927</v>
      </c>
    </row>
    <row r="71" spans="1:2" x14ac:dyDescent="0.25">
      <c r="A71" s="3">
        <v>66</v>
      </c>
      <c r="B71" s="3" t="str">
        <f>"00019153"</f>
        <v>00019153</v>
      </c>
    </row>
    <row r="72" spans="1:2" x14ac:dyDescent="0.25">
      <c r="A72" s="3">
        <v>67</v>
      </c>
      <c r="B72" s="3" t="str">
        <f>"00019192"</f>
        <v>00019192</v>
      </c>
    </row>
    <row r="73" spans="1:2" x14ac:dyDescent="0.25">
      <c r="A73" s="3">
        <v>68</v>
      </c>
      <c r="B73" s="3" t="str">
        <f>"00019201"</f>
        <v>00019201</v>
      </c>
    </row>
    <row r="74" spans="1:2" x14ac:dyDescent="0.25">
      <c r="A74" s="3">
        <v>69</v>
      </c>
      <c r="B74" s="3" t="str">
        <f>"00019259"</f>
        <v>00019259</v>
      </c>
    </row>
    <row r="75" spans="1:2" x14ac:dyDescent="0.25">
      <c r="A75" s="3">
        <v>70</v>
      </c>
      <c r="B75" s="3" t="str">
        <f>"00019301"</f>
        <v>00019301</v>
      </c>
    </row>
    <row r="76" spans="1:2" x14ac:dyDescent="0.25">
      <c r="A76" s="3">
        <v>71</v>
      </c>
      <c r="B76" s="3" t="str">
        <f>"00019349"</f>
        <v>00019349</v>
      </c>
    </row>
    <row r="77" spans="1:2" x14ac:dyDescent="0.25">
      <c r="A77" s="3">
        <v>72</v>
      </c>
      <c r="B77" s="3" t="str">
        <f>"00019396"</f>
        <v>00019396</v>
      </c>
    </row>
    <row r="78" spans="1:2" x14ac:dyDescent="0.25">
      <c r="A78" s="3">
        <v>73</v>
      </c>
      <c r="B78" s="3" t="str">
        <f>"00019450"</f>
        <v>00019450</v>
      </c>
    </row>
    <row r="79" spans="1:2" x14ac:dyDescent="0.25">
      <c r="A79" s="3">
        <v>74</v>
      </c>
      <c r="B79" s="3" t="str">
        <f>"00019602"</f>
        <v>00019602</v>
      </c>
    </row>
    <row r="80" spans="1:2" x14ac:dyDescent="0.25">
      <c r="A80" s="3">
        <v>75</v>
      </c>
      <c r="B80" s="3" t="str">
        <f>"00019806"</f>
        <v>00019806</v>
      </c>
    </row>
    <row r="81" spans="1:2" x14ac:dyDescent="0.25">
      <c r="A81" s="3">
        <v>76</v>
      </c>
      <c r="B81" s="3" t="str">
        <f>"00019815"</f>
        <v>00019815</v>
      </c>
    </row>
    <row r="82" spans="1:2" x14ac:dyDescent="0.25">
      <c r="A82" s="3">
        <v>77</v>
      </c>
      <c r="B82" s="3" t="str">
        <f>"00019822"</f>
        <v>00019822</v>
      </c>
    </row>
    <row r="83" spans="1:2" x14ac:dyDescent="0.25">
      <c r="A83" s="3">
        <v>78</v>
      </c>
      <c r="B83" s="3" t="str">
        <f>"00019877"</f>
        <v>00019877</v>
      </c>
    </row>
    <row r="84" spans="1:2" x14ac:dyDescent="0.25">
      <c r="A84" s="3">
        <v>79</v>
      </c>
      <c r="B84" s="3" t="str">
        <f>"00020042"</f>
        <v>00020042</v>
      </c>
    </row>
    <row r="85" spans="1:2" x14ac:dyDescent="0.25">
      <c r="A85" s="3">
        <v>80</v>
      </c>
      <c r="B85" s="3" t="str">
        <f>"00020251"</f>
        <v>00020251</v>
      </c>
    </row>
    <row r="86" spans="1:2" x14ac:dyDescent="0.25">
      <c r="A86" s="3">
        <v>81</v>
      </c>
      <c r="B86" s="3" t="str">
        <f>"00020363"</f>
        <v>00020363</v>
      </c>
    </row>
    <row r="87" spans="1:2" x14ac:dyDescent="0.25">
      <c r="A87" s="3">
        <v>82</v>
      </c>
      <c r="B87" s="3" t="str">
        <f>"00020375"</f>
        <v>00020375</v>
      </c>
    </row>
    <row r="88" spans="1:2" x14ac:dyDescent="0.25">
      <c r="A88" s="3">
        <v>83</v>
      </c>
      <c r="B88" s="3" t="str">
        <f>"00020405"</f>
        <v>00020405</v>
      </c>
    </row>
    <row r="89" spans="1:2" x14ac:dyDescent="0.25">
      <c r="A89" s="3">
        <v>84</v>
      </c>
      <c r="B89" s="3" t="str">
        <f>"00020521"</f>
        <v>00020521</v>
      </c>
    </row>
    <row r="90" spans="1:2" x14ac:dyDescent="0.25">
      <c r="A90" s="3">
        <v>85</v>
      </c>
      <c r="B90" s="3" t="str">
        <f>"00020564"</f>
        <v>00020564</v>
      </c>
    </row>
    <row r="91" spans="1:2" x14ac:dyDescent="0.25">
      <c r="A91" s="3">
        <v>86</v>
      </c>
      <c r="B91" s="3" t="str">
        <f>"00020699"</f>
        <v>00020699</v>
      </c>
    </row>
    <row r="92" spans="1:2" x14ac:dyDescent="0.25">
      <c r="A92" s="3">
        <v>87</v>
      </c>
      <c r="B92" s="3" t="str">
        <f>"00020752"</f>
        <v>00020752</v>
      </c>
    </row>
    <row r="93" spans="1:2" x14ac:dyDescent="0.25">
      <c r="A93" s="3">
        <v>88</v>
      </c>
      <c r="B93" s="3" t="str">
        <f>"00020798"</f>
        <v>00020798</v>
      </c>
    </row>
    <row r="94" spans="1:2" x14ac:dyDescent="0.25">
      <c r="A94" s="3">
        <v>89</v>
      </c>
      <c r="B94" s="3" t="str">
        <f>"00021008"</f>
        <v>00021008</v>
      </c>
    </row>
    <row r="95" spans="1:2" x14ac:dyDescent="0.25">
      <c r="A95" s="3">
        <v>90</v>
      </c>
      <c r="B95" s="3" t="str">
        <f>"00021151"</f>
        <v>00021151</v>
      </c>
    </row>
    <row r="96" spans="1:2" x14ac:dyDescent="0.25">
      <c r="A96" s="3">
        <v>91</v>
      </c>
      <c r="B96" s="3" t="str">
        <f>"00021813"</f>
        <v>00021813</v>
      </c>
    </row>
    <row r="97" spans="1:2" x14ac:dyDescent="0.25">
      <c r="A97" s="3">
        <v>92</v>
      </c>
      <c r="B97" s="3" t="str">
        <f>"00021869"</f>
        <v>00021869</v>
      </c>
    </row>
    <row r="98" spans="1:2" x14ac:dyDescent="0.25">
      <c r="A98" s="3">
        <v>93</v>
      </c>
      <c r="B98" s="3" t="str">
        <f>"00021902"</f>
        <v>00021902</v>
      </c>
    </row>
    <row r="99" spans="1:2" x14ac:dyDescent="0.25">
      <c r="A99" s="3">
        <v>94</v>
      </c>
      <c r="B99" s="3" t="str">
        <f>"00021939"</f>
        <v>00021939</v>
      </c>
    </row>
    <row r="100" spans="1:2" x14ac:dyDescent="0.25">
      <c r="A100" s="3">
        <v>95</v>
      </c>
      <c r="B100" s="3" t="str">
        <f>"00022326"</f>
        <v>00022326</v>
      </c>
    </row>
    <row r="101" spans="1:2" x14ac:dyDescent="0.25">
      <c r="A101" s="3">
        <v>96</v>
      </c>
      <c r="B101" s="3" t="str">
        <f>"00022481"</f>
        <v>00022481</v>
      </c>
    </row>
    <row r="102" spans="1:2" x14ac:dyDescent="0.25">
      <c r="A102" s="3">
        <v>97</v>
      </c>
      <c r="B102" s="3" t="str">
        <f>"00022786"</f>
        <v>00022786</v>
      </c>
    </row>
    <row r="103" spans="1:2" x14ac:dyDescent="0.25">
      <c r="A103" s="3">
        <v>98</v>
      </c>
      <c r="B103" s="3" t="str">
        <f>"00023113"</f>
        <v>00023113</v>
      </c>
    </row>
    <row r="104" spans="1:2" x14ac:dyDescent="0.25">
      <c r="A104" s="3">
        <v>99</v>
      </c>
      <c r="B104" s="3" t="str">
        <f>"00023241"</f>
        <v>00023241</v>
      </c>
    </row>
    <row r="105" spans="1:2" x14ac:dyDescent="0.25">
      <c r="A105" s="3">
        <v>100</v>
      </c>
      <c r="B105" s="3" t="str">
        <f>"00023499"</f>
        <v>00023499</v>
      </c>
    </row>
    <row r="106" spans="1:2" x14ac:dyDescent="0.25">
      <c r="A106" s="3">
        <v>101</v>
      </c>
      <c r="B106" s="3" t="str">
        <f>"00023572"</f>
        <v>00023572</v>
      </c>
    </row>
    <row r="107" spans="1:2" x14ac:dyDescent="0.25">
      <c r="A107" s="3">
        <v>102</v>
      </c>
      <c r="B107" s="3" t="str">
        <f>"00023617"</f>
        <v>00023617</v>
      </c>
    </row>
    <row r="108" spans="1:2" x14ac:dyDescent="0.25">
      <c r="A108" s="3">
        <v>103</v>
      </c>
      <c r="B108" s="3" t="str">
        <f>"00023622"</f>
        <v>00023622</v>
      </c>
    </row>
    <row r="109" spans="1:2" x14ac:dyDescent="0.25">
      <c r="A109" s="3">
        <v>104</v>
      </c>
      <c r="B109" s="3" t="str">
        <f>"00023672"</f>
        <v>00023672</v>
      </c>
    </row>
    <row r="110" spans="1:2" x14ac:dyDescent="0.25">
      <c r="A110" s="3">
        <v>105</v>
      </c>
      <c r="B110" s="3" t="str">
        <f>"00023688"</f>
        <v>00023688</v>
      </c>
    </row>
    <row r="111" spans="1:2" x14ac:dyDescent="0.25">
      <c r="A111" s="3">
        <v>106</v>
      </c>
      <c r="B111" s="3" t="str">
        <f>"00023699"</f>
        <v>00023699</v>
      </c>
    </row>
    <row r="112" spans="1:2" x14ac:dyDescent="0.25">
      <c r="A112" s="3">
        <v>107</v>
      </c>
      <c r="B112" s="3" t="str">
        <f>"00023718"</f>
        <v>00023718</v>
      </c>
    </row>
    <row r="113" spans="1:2" x14ac:dyDescent="0.25">
      <c r="A113" s="3">
        <v>108</v>
      </c>
      <c r="B113" s="3" t="str">
        <f>"00023759"</f>
        <v>00023759</v>
      </c>
    </row>
    <row r="114" spans="1:2" x14ac:dyDescent="0.25">
      <c r="A114" s="3">
        <v>109</v>
      </c>
      <c r="B114" s="3" t="str">
        <f>"00023809"</f>
        <v>00023809</v>
      </c>
    </row>
    <row r="115" spans="1:2" x14ac:dyDescent="0.25">
      <c r="A115" s="3">
        <v>110</v>
      </c>
      <c r="B115" s="3" t="str">
        <f>"00023872"</f>
        <v>00023872</v>
      </c>
    </row>
    <row r="116" spans="1:2" x14ac:dyDescent="0.25">
      <c r="A116" s="3">
        <v>111</v>
      </c>
      <c r="B116" s="3" t="str">
        <f>"00024087"</f>
        <v>00024087</v>
      </c>
    </row>
    <row r="117" spans="1:2" x14ac:dyDescent="0.25">
      <c r="A117" s="3">
        <v>112</v>
      </c>
      <c r="B117" s="3" t="str">
        <f>"00024127"</f>
        <v>00024127</v>
      </c>
    </row>
    <row r="118" spans="1:2" x14ac:dyDescent="0.25">
      <c r="A118" s="3">
        <v>113</v>
      </c>
      <c r="B118" s="3" t="str">
        <f>"00024353"</f>
        <v>00024353</v>
      </c>
    </row>
    <row r="119" spans="1:2" x14ac:dyDescent="0.25">
      <c r="A119" s="3">
        <v>114</v>
      </c>
      <c r="B119" s="3" t="str">
        <f>"00024384"</f>
        <v>00024384</v>
      </c>
    </row>
    <row r="120" spans="1:2" x14ac:dyDescent="0.25">
      <c r="A120" s="3">
        <v>115</v>
      </c>
      <c r="B120" s="3" t="str">
        <f>"00024527"</f>
        <v>00024527</v>
      </c>
    </row>
    <row r="121" spans="1:2" x14ac:dyDescent="0.25">
      <c r="A121" s="3">
        <v>116</v>
      </c>
      <c r="B121" s="3" t="str">
        <f>"00024588"</f>
        <v>00024588</v>
      </c>
    </row>
    <row r="122" spans="1:2" x14ac:dyDescent="0.25">
      <c r="A122" s="3">
        <v>117</v>
      </c>
      <c r="B122" s="3" t="str">
        <f>"00024815"</f>
        <v>00024815</v>
      </c>
    </row>
    <row r="123" spans="1:2" x14ac:dyDescent="0.25">
      <c r="A123" s="3">
        <v>118</v>
      </c>
      <c r="B123" s="3" t="str">
        <f>"00024860"</f>
        <v>00024860</v>
      </c>
    </row>
    <row r="124" spans="1:2" x14ac:dyDescent="0.25">
      <c r="A124" s="3">
        <v>119</v>
      </c>
      <c r="B124" s="3" t="str">
        <f>"00024989"</f>
        <v>00024989</v>
      </c>
    </row>
    <row r="125" spans="1:2" x14ac:dyDescent="0.25">
      <c r="A125" s="3">
        <v>120</v>
      </c>
      <c r="B125" s="3" t="str">
        <f>"00024993"</f>
        <v>00024993</v>
      </c>
    </row>
    <row r="126" spans="1:2" x14ac:dyDescent="0.25">
      <c r="A126" s="3">
        <v>121</v>
      </c>
      <c r="B126" s="3" t="str">
        <f>"00025046"</f>
        <v>00025046</v>
      </c>
    </row>
    <row r="127" spans="1:2" x14ac:dyDescent="0.25">
      <c r="A127" s="3">
        <v>122</v>
      </c>
      <c r="B127" s="3" t="str">
        <f>"00025055"</f>
        <v>00025055</v>
      </c>
    </row>
    <row r="128" spans="1:2" x14ac:dyDescent="0.25">
      <c r="A128" s="3">
        <v>123</v>
      </c>
      <c r="B128" s="3" t="str">
        <f>"00025246"</f>
        <v>00025246</v>
      </c>
    </row>
    <row r="129" spans="1:2" x14ac:dyDescent="0.25">
      <c r="A129" s="3">
        <v>124</v>
      </c>
      <c r="B129" s="3" t="str">
        <f>"00025373"</f>
        <v>00025373</v>
      </c>
    </row>
    <row r="130" spans="1:2" x14ac:dyDescent="0.25">
      <c r="A130" s="3">
        <v>125</v>
      </c>
      <c r="B130" s="3" t="str">
        <f>"00025388"</f>
        <v>00025388</v>
      </c>
    </row>
    <row r="131" spans="1:2" x14ac:dyDescent="0.25">
      <c r="A131" s="3">
        <v>126</v>
      </c>
      <c r="B131" s="3" t="str">
        <f>"00025794"</f>
        <v>00025794</v>
      </c>
    </row>
    <row r="132" spans="1:2" x14ac:dyDescent="0.25">
      <c r="A132" s="3">
        <v>127</v>
      </c>
      <c r="B132" s="3" t="str">
        <f>"00025832"</f>
        <v>00025832</v>
      </c>
    </row>
    <row r="133" spans="1:2" x14ac:dyDescent="0.25">
      <c r="A133" s="3">
        <v>128</v>
      </c>
      <c r="B133" s="3" t="str">
        <f>"00026305"</f>
        <v>00026305</v>
      </c>
    </row>
    <row r="134" spans="1:2" x14ac:dyDescent="0.25">
      <c r="A134" s="3">
        <v>129</v>
      </c>
      <c r="B134" s="3" t="str">
        <f>"00026525"</f>
        <v>00026525</v>
      </c>
    </row>
    <row r="135" spans="1:2" x14ac:dyDescent="0.25">
      <c r="A135" s="3">
        <v>130</v>
      </c>
      <c r="B135" s="3" t="str">
        <f>"00026607"</f>
        <v>00026607</v>
      </c>
    </row>
    <row r="136" spans="1:2" x14ac:dyDescent="0.25">
      <c r="A136" s="3">
        <v>131</v>
      </c>
      <c r="B136" s="3" t="str">
        <f>"00027316"</f>
        <v>00027316</v>
      </c>
    </row>
    <row r="137" spans="1:2" x14ac:dyDescent="0.25">
      <c r="A137" s="3">
        <v>132</v>
      </c>
      <c r="B137" s="3" t="str">
        <f>"00027358"</f>
        <v>00027358</v>
      </c>
    </row>
    <row r="138" spans="1:2" x14ac:dyDescent="0.25">
      <c r="A138" s="3">
        <v>133</v>
      </c>
      <c r="B138" s="3" t="str">
        <f>"00028486"</f>
        <v>00028486</v>
      </c>
    </row>
    <row r="139" spans="1:2" x14ac:dyDescent="0.25">
      <c r="A139" s="3">
        <v>134</v>
      </c>
      <c r="B139" s="3" t="str">
        <f>"00028510"</f>
        <v>00028510</v>
      </c>
    </row>
    <row r="140" spans="1:2" x14ac:dyDescent="0.25">
      <c r="A140" s="3">
        <v>135</v>
      </c>
      <c r="B140" s="3" t="str">
        <f>"00028605"</f>
        <v>00028605</v>
      </c>
    </row>
    <row r="141" spans="1:2" x14ac:dyDescent="0.25">
      <c r="A141" s="3">
        <v>136</v>
      </c>
      <c r="B141" s="3" t="str">
        <f>"00028657"</f>
        <v>00028657</v>
      </c>
    </row>
    <row r="142" spans="1:2" x14ac:dyDescent="0.25">
      <c r="A142" s="3">
        <v>137</v>
      </c>
      <c r="B142" s="3" t="str">
        <f>"00029008"</f>
        <v>00029008</v>
      </c>
    </row>
    <row r="143" spans="1:2" x14ac:dyDescent="0.25">
      <c r="A143" s="3">
        <v>138</v>
      </c>
      <c r="B143" s="3" t="str">
        <f>"00029019"</f>
        <v>00029019</v>
      </c>
    </row>
    <row r="144" spans="1:2" x14ac:dyDescent="0.25">
      <c r="A144" s="3">
        <v>139</v>
      </c>
      <c r="B144" s="3" t="str">
        <f>"00029045"</f>
        <v>00029045</v>
      </c>
    </row>
    <row r="145" spans="1:2" x14ac:dyDescent="0.25">
      <c r="A145" s="3">
        <v>140</v>
      </c>
      <c r="B145" s="3" t="str">
        <f>"00029135"</f>
        <v>00029135</v>
      </c>
    </row>
    <row r="146" spans="1:2" x14ac:dyDescent="0.25">
      <c r="A146" s="3">
        <v>141</v>
      </c>
      <c r="B146" s="3" t="str">
        <f>"00029157"</f>
        <v>00029157</v>
      </c>
    </row>
    <row r="147" spans="1:2" x14ac:dyDescent="0.25">
      <c r="A147" s="3">
        <v>142</v>
      </c>
      <c r="B147" s="3" t="str">
        <f>"00029242"</f>
        <v>00029242</v>
      </c>
    </row>
    <row r="148" spans="1:2" x14ac:dyDescent="0.25">
      <c r="A148" s="3">
        <v>143</v>
      </c>
      <c r="B148" s="3" t="str">
        <f>"00029251"</f>
        <v>00029251</v>
      </c>
    </row>
    <row r="149" spans="1:2" x14ac:dyDescent="0.25">
      <c r="A149" s="3">
        <v>144</v>
      </c>
      <c r="B149" s="3" t="str">
        <f>"00029269"</f>
        <v>00029269</v>
      </c>
    </row>
    <row r="150" spans="1:2" x14ac:dyDescent="0.25">
      <c r="A150" s="3">
        <v>145</v>
      </c>
      <c r="B150" s="3" t="str">
        <f>"00030209"</f>
        <v>00030209</v>
      </c>
    </row>
    <row r="151" spans="1:2" x14ac:dyDescent="0.25">
      <c r="A151" s="3">
        <v>146</v>
      </c>
      <c r="B151" s="3" t="str">
        <f>"00030226"</f>
        <v>00030226</v>
      </c>
    </row>
    <row r="152" spans="1:2" x14ac:dyDescent="0.25">
      <c r="A152" s="3">
        <v>147</v>
      </c>
      <c r="B152" s="3" t="str">
        <f>"00030415"</f>
        <v>00030415</v>
      </c>
    </row>
    <row r="153" spans="1:2" x14ac:dyDescent="0.25">
      <c r="A153" s="3">
        <v>148</v>
      </c>
      <c r="B153" s="3" t="str">
        <f>"00030536"</f>
        <v>00030536</v>
      </c>
    </row>
    <row r="154" spans="1:2" x14ac:dyDescent="0.25">
      <c r="A154" s="3">
        <v>149</v>
      </c>
      <c r="B154" s="3" t="str">
        <f>"00030622"</f>
        <v>00030622</v>
      </c>
    </row>
    <row r="155" spans="1:2" x14ac:dyDescent="0.25">
      <c r="A155" s="3">
        <v>150</v>
      </c>
      <c r="B155" s="3" t="str">
        <f>"00030734"</f>
        <v>00030734</v>
      </c>
    </row>
    <row r="156" spans="1:2" x14ac:dyDescent="0.25">
      <c r="A156" s="3">
        <v>151</v>
      </c>
      <c r="B156" s="3" t="str">
        <f>"00031621"</f>
        <v>00031621</v>
      </c>
    </row>
    <row r="157" spans="1:2" x14ac:dyDescent="0.25">
      <c r="A157" s="3">
        <v>152</v>
      </c>
      <c r="B157" s="3" t="str">
        <f>"00031706"</f>
        <v>00031706</v>
      </c>
    </row>
    <row r="158" spans="1:2" x14ac:dyDescent="0.25">
      <c r="A158" s="3">
        <v>153</v>
      </c>
      <c r="B158" s="3" t="str">
        <f>"00032441"</f>
        <v>00032441</v>
      </c>
    </row>
    <row r="159" spans="1:2" x14ac:dyDescent="0.25">
      <c r="A159" s="3">
        <v>154</v>
      </c>
      <c r="B159" s="3" t="str">
        <f>"00032640"</f>
        <v>00032640</v>
      </c>
    </row>
    <row r="160" spans="1:2" x14ac:dyDescent="0.25">
      <c r="A160" s="3">
        <v>155</v>
      </c>
      <c r="B160" s="3" t="str">
        <f>"00034379"</f>
        <v>00034379</v>
      </c>
    </row>
    <row r="161" spans="1:2" x14ac:dyDescent="0.25">
      <c r="A161" s="3">
        <v>156</v>
      </c>
      <c r="B161" s="3" t="str">
        <f>"00034382"</f>
        <v>00034382</v>
      </c>
    </row>
    <row r="162" spans="1:2" x14ac:dyDescent="0.25">
      <c r="A162" s="3">
        <v>157</v>
      </c>
      <c r="B162" s="3" t="str">
        <f>"00035097"</f>
        <v>00035097</v>
      </c>
    </row>
    <row r="163" spans="1:2" x14ac:dyDescent="0.25">
      <c r="A163" s="3">
        <v>158</v>
      </c>
      <c r="B163" s="3" t="str">
        <f>"00035173"</f>
        <v>00035173</v>
      </c>
    </row>
    <row r="164" spans="1:2" x14ac:dyDescent="0.25">
      <c r="A164" s="3">
        <v>159</v>
      </c>
      <c r="B164" s="3" t="str">
        <f>"00035899"</f>
        <v>00035899</v>
      </c>
    </row>
    <row r="165" spans="1:2" x14ac:dyDescent="0.25">
      <c r="A165" s="3">
        <v>160</v>
      </c>
      <c r="B165" s="3" t="str">
        <f>"00036000"</f>
        <v>00036000</v>
      </c>
    </row>
    <row r="166" spans="1:2" x14ac:dyDescent="0.25">
      <c r="A166" s="3">
        <v>161</v>
      </c>
      <c r="B166" s="3" t="str">
        <f>"00036026"</f>
        <v>00036026</v>
      </c>
    </row>
    <row r="167" spans="1:2" x14ac:dyDescent="0.25">
      <c r="A167" s="3">
        <v>162</v>
      </c>
      <c r="B167" s="3" t="str">
        <f>"00036115"</f>
        <v>00036115</v>
      </c>
    </row>
    <row r="168" spans="1:2" x14ac:dyDescent="0.25">
      <c r="A168" s="3">
        <v>163</v>
      </c>
      <c r="B168" s="3" t="str">
        <f>"00036406"</f>
        <v>00036406</v>
      </c>
    </row>
    <row r="169" spans="1:2" x14ac:dyDescent="0.25">
      <c r="A169" s="3">
        <v>164</v>
      </c>
      <c r="B169" s="3" t="str">
        <f>"00036470"</f>
        <v>00036470</v>
      </c>
    </row>
    <row r="170" spans="1:2" x14ac:dyDescent="0.25">
      <c r="A170" s="3">
        <v>165</v>
      </c>
      <c r="B170" s="3" t="str">
        <f>"00036949"</f>
        <v>00036949</v>
      </c>
    </row>
    <row r="171" spans="1:2" x14ac:dyDescent="0.25">
      <c r="A171" s="3">
        <v>166</v>
      </c>
      <c r="B171" s="3" t="str">
        <f>"00037228"</f>
        <v>00037228</v>
      </c>
    </row>
    <row r="172" spans="1:2" x14ac:dyDescent="0.25">
      <c r="A172" s="3">
        <v>167</v>
      </c>
      <c r="B172" s="3" t="str">
        <f>"00037531"</f>
        <v>00037531</v>
      </c>
    </row>
    <row r="173" spans="1:2" x14ac:dyDescent="0.25">
      <c r="A173" s="3">
        <v>168</v>
      </c>
      <c r="B173" s="3" t="str">
        <f>"00037582"</f>
        <v>00037582</v>
      </c>
    </row>
    <row r="174" spans="1:2" x14ac:dyDescent="0.25">
      <c r="A174" s="3">
        <v>169</v>
      </c>
      <c r="B174" s="3" t="str">
        <f>"00037616"</f>
        <v>00037616</v>
      </c>
    </row>
    <row r="175" spans="1:2" x14ac:dyDescent="0.25">
      <c r="A175" s="3">
        <v>170</v>
      </c>
      <c r="B175" s="3" t="str">
        <f>"00037696"</f>
        <v>00037696</v>
      </c>
    </row>
    <row r="176" spans="1:2" x14ac:dyDescent="0.25">
      <c r="A176" s="3">
        <v>171</v>
      </c>
      <c r="B176" s="3" t="str">
        <f>"00037737"</f>
        <v>00037737</v>
      </c>
    </row>
    <row r="177" spans="1:2" x14ac:dyDescent="0.25">
      <c r="A177" s="3">
        <v>172</v>
      </c>
      <c r="B177" s="3" t="str">
        <f>"00037943"</f>
        <v>00037943</v>
      </c>
    </row>
    <row r="178" spans="1:2" x14ac:dyDescent="0.25">
      <c r="A178" s="3">
        <v>173</v>
      </c>
      <c r="B178" s="3" t="str">
        <f>"00038126"</f>
        <v>00038126</v>
      </c>
    </row>
    <row r="179" spans="1:2" x14ac:dyDescent="0.25">
      <c r="A179" s="3">
        <v>174</v>
      </c>
      <c r="B179" s="3" t="str">
        <f>"00038887"</f>
        <v>00038887</v>
      </c>
    </row>
    <row r="180" spans="1:2" x14ac:dyDescent="0.25">
      <c r="A180" s="3">
        <v>175</v>
      </c>
      <c r="B180" s="3" t="str">
        <f>"00039095"</f>
        <v>00039095</v>
      </c>
    </row>
    <row r="181" spans="1:2" x14ac:dyDescent="0.25">
      <c r="A181" s="3">
        <v>176</v>
      </c>
      <c r="B181" s="3" t="str">
        <f>"00039155"</f>
        <v>00039155</v>
      </c>
    </row>
    <row r="182" spans="1:2" x14ac:dyDescent="0.25">
      <c r="A182" s="3">
        <v>177</v>
      </c>
      <c r="B182" s="3" t="str">
        <f>"00039418"</f>
        <v>00039418</v>
      </c>
    </row>
    <row r="183" spans="1:2" x14ac:dyDescent="0.25">
      <c r="A183" s="3">
        <v>178</v>
      </c>
      <c r="B183" s="3" t="str">
        <f>"00039648"</f>
        <v>00039648</v>
      </c>
    </row>
    <row r="184" spans="1:2" x14ac:dyDescent="0.25">
      <c r="A184" s="3">
        <v>179</v>
      </c>
      <c r="B184" s="3" t="str">
        <f>"00039723"</f>
        <v>00039723</v>
      </c>
    </row>
    <row r="185" spans="1:2" x14ac:dyDescent="0.25">
      <c r="A185" s="3">
        <v>180</v>
      </c>
      <c r="B185" s="3" t="str">
        <f>"00039735"</f>
        <v>00039735</v>
      </c>
    </row>
    <row r="186" spans="1:2" x14ac:dyDescent="0.25">
      <c r="A186" s="3">
        <v>181</v>
      </c>
      <c r="B186" s="3" t="str">
        <f>"00040041"</f>
        <v>00040041</v>
      </c>
    </row>
    <row r="187" spans="1:2" x14ac:dyDescent="0.25">
      <c r="A187" s="3">
        <v>182</v>
      </c>
      <c r="B187" s="3" t="str">
        <f>"00040080"</f>
        <v>00040080</v>
      </c>
    </row>
    <row r="188" spans="1:2" x14ac:dyDescent="0.25">
      <c r="A188" s="3">
        <v>183</v>
      </c>
      <c r="B188" s="3" t="str">
        <f>"00040147"</f>
        <v>00040147</v>
      </c>
    </row>
    <row r="189" spans="1:2" x14ac:dyDescent="0.25">
      <c r="A189" s="3">
        <v>184</v>
      </c>
      <c r="B189" s="3" t="str">
        <f>"00040269"</f>
        <v>00040269</v>
      </c>
    </row>
    <row r="190" spans="1:2" x14ac:dyDescent="0.25">
      <c r="A190" s="3">
        <v>185</v>
      </c>
      <c r="B190" s="3" t="str">
        <f>"00040344"</f>
        <v>00040344</v>
      </c>
    </row>
    <row r="191" spans="1:2" x14ac:dyDescent="0.25">
      <c r="A191" s="3">
        <v>186</v>
      </c>
      <c r="B191" s="3" t="str">
        <f>"00040448"</f>
        <v>00040448</v>
      </c>
    </row>
    <row r="192" spans="1:2" x14ac:dyDescent="0.25">
      <c r="A192" s="3">
        <v>187</v>
      </c>
      <c r="B192" s="3" t="str">
        <f>"00040530"</f>
        <v>00040530</v>
      </c>
    </row>
    <row r="193" spans="1:2" x14ac:dyDescent="0.25">
      <c r="A193" s="3">
        <v>188</v>
      </c>
      <c r="B193" s="3" t="str">
        <f>"00040557"</f>
        <v>00040557</v>
      </c>
    </row>
    <row r="194" spans="1:2" x14ac:dyDescent="0.25">
      <c r="A194" s="3">
        <v>189</v>
      </c>
      <c r="B194" s="3" t="str">
        <f>"00040740"</f>
        <v>00040740</v>
      </c>
    </row>
    <row r="195" spans="1:2" x14ac:dyDescent="0.25">
      <c r="A195" s="3">
        <v>190</v>
      </c>
      <c r="B195" s="3" t="str">
        <f>"00040811"</f>
        <v>00040811</v>
      </c>
    </row>
    <row r="196" spans="1:2" x14ac:dyDescent="0.25">
      <c r="A196" s="3">
        <v>191</v>
      </c>
      <c r="B196" s="3" t="str">
        <f>"00040860"</f>
        <v>00040860</v>
      </c>
    </row>
    <row r="197" spans="1:2" x14ac:dyDescent="0.25">
      <c r="A197" s="3">
        <v>192</v>
      </c>
      <c r="B197" s="3" t="str">
        <f>"00041011"</f>
        <v>00041011</v>
      </c>
    </row>
    <row r="198" spans="1:2" x14ac:dyDescent="0.25">
      <c r="A198" s="3">
        <v>193</v>
      </c>
      <c r="B198" s="3" t="str">
        <f>"00041240"</f>
        <v>00041240</v>
      </c>
    </row>
    <row r="199" spans="1:2" x14ac:dyDescent="0.25">
      <c r="A199" s="3">
        <v>194</v>
      </c>
      <c r="B199" s="3" t="str">
        <f>"00041392"</f>
        <v>00041392</v>
      </c>
    </row>
    <row r="200" spans="1:2" x14ac:dyDescent="0.25">
      <c r="A200" s="3">
        <v>195</v>
      </c>
      <c r="B200" s="3" t="str">
        <f>"00041510"</f>
        <v>00041510</v>
      </c>
    </row>
    <row r="201" spans="1:2" x14ac:dyDescent="0.25">
      <c r="A201" s="3">
        <v>196</v>
      </c>
      <c r="B201" s="3" t="str">
        <f>"00041535"</f>
        <v>00041535</v>
      </c>
    </row>
    <row r="202" spans="1:2" x14ac:dyDescent="0.25">
      <c r="A202" s="3">
        <v>197</v>
      </c>
      <c r="B202" s="3" t="str">
        <f>"00041686"</f>
        <v>00041686</v>
      </c>
    </row>
    <row r="203" spans="1:2" x14ac:dyDescent="0.25">
      <c r="A203" s="3">
        <v>198</v>
      </c>
      <c r="B203" s="3" t="str">
        <f>"00041823"</f>
        <v>00041823</v>
      </c>
    </row>
    <row r="204" spans="1:2" x14ac:dyDescent="0.25">
      <c r="A204" s="3">
        <v>199</v>
      </c>
      <c r="B204" s="3" t="str">
        <f>"00041891"</f>
        <v>00041891</v>
      </c>
    </row>
    <row r="205" spans="1:2" x14ac:dyDescent="0.25">
      <c r="A205" s="3">
        <v>200</v>
      </c>
      <c r="B205" s="3" t="str">
        <f>"00042088"</f>
        <v>00042088</v>
      </c>
    </row>
    <row r="206" spans="1:2" x14ac:dyDescent="0.25">
      <c r="A206" s="3">
        <v>201</v>
      </c>
      <c r="B206" s="3" t="str">
        <f>"00042394"</f>
        <v>00042394</v>
      </c>
    </row>
    <row r="207" spans="1:2" x14ac:dyDescent="0.25">
      <c r="A207" s="3">
        <v>202</v>
      </c>
      <c r="B207" s="3" t="str">
        <f>"00042487"</f>
        <v>00042487</v>
      </c>
    </row>
    <row r="208" spans="1:2" x14ac:dyDescent="0.25">
      <c r="A208" s="3">
        <v>203</v>
      </c>
      <c r="B208" s="3" t="str">
        <f>"00042524"</f>
        <v>00042524</v>
      </c>
    </row>
    <row r="209" spans="1:2" x14ac:dyDescent="0.25">
      <c r="A209" s="3">
        <v>204</v>
      </c>
      <c r="B209" s="3" t="str">
        <f>"00042555"</f>
        <v>00042555</v>
      </c>
    </row>
    <row r="210" spans="1:2" x14ac:dyDescent="0.25">
      <c r="A210" s="3">
        <v>205</v>
      </c>
      <c r="B210" s="3" t="str">
        <f>"00043133"</f>
        <v>00043133</v>
      </c>
    </row>
    <row r="211" spans="1:2" x14ac:dyDescent="0.25">
      <c r="A211" s="3">
        <v>206</v>
      </c>
      <c r="B211" s="3" t="str">
        <f>"00043490"</f>
        <v>00043490</v>
      </c>
    </row>
    <row r="212" spans="1:2" x14ac:dyDescent="0.25">
      <c r="A212" s="3">
        <v>207</v>
      </c>
      <c r="B212" s="3" t="str">
        <f>"00043622"</f>
        <v>00043622</v>
      </c>
    </row>
    <row r="213" spans="1:2" x14ac:dyDescent="0.25">
      <c r="A213" s="3">
        <v>208</v>
      </c>
      <c r="B213" s="3" t="str">
        <f>"00043629"</f>
        <v>00043629</v>
      </c>
    </row>
    <row r="214" spans="1:2" x14ac:dyDescent="0.25">
      <c r="A214" s="3">
        <v>209</v>
      </c>
      <c r="B214" s="3" t="str">
        <f>"00043685"</f>
        <v>00043685</v>
      </c>
    </row>
    <row r="215" spans="1:2" x14ac:dyDescent="0.25">
      <c r="A215" s="3">
        <v>210</v>
      </c>
      <c r="B215" s="3" t="str">
        <f>"00043912"</f>
        <v>00043912</v>
      </c>
    </row>
    <row r="216" spans="1:2" x14ac:dyDescent="0.25">
      <c r="A216" s="3">
        <v>211</v>
      </c>
      <c r="B216" s="3" t="str">
        <f>"00044069"</f>
        <v>00044069</v>
      </c>
    </row>
    <row r="217" spans="1:2" x14ac:dyDescent="0.25">
      <c r="A217" s="3">
        <v>212</v>
      </c>
      <c r="B217" s="3" t="str">
        <f>"00044549"</f>
        <v>00044549</v>
      </c>
    </row>
    <row r="218" spans="1:2" x14ac:dyDescent="0.25">
      <c r="A218" s="3">
        <v>213</v>
      </c>
      <c r="B218" s="3" t="str">
        <f>"00044677"</f>
        <v>00044677</v>
      </c>
    </row>
    <row r="219" spans="1:2" x14ac:dyDescent="0.25">
      <c r="A219" s="3">
        <v>214</v>
      </c>
      <c r="B219" s="3" t="str">
        <f>"00045047"</f>
        <v>00045047</v>
      </c>
    </row>
    <row r="220" spans="1:2" x14ac:dyDescent="0.25">
      <c r="A220" s="3">
        <v>215</v>
      </c>
      <c r="B220" s="3" t="str">
        <f>"00045185"</f>
        <v>00045185</v>
      </c>
    </row>
    <row r="221" spans="1:2" x14ac:dyDescent="0.25">
      <c r="A221" s="3">
        <v>216</v>
      </c>
      <c r="B221" s="3" t="str">
        <f>"00045613"</f>
        <v>00045613</v>
      </c>
    </row>
    <row r="222" spans="1:2" x14ac:dyDescent="0.25">
      <c r="A222" s="3">
        <v>217</v>
      </c>
      <c r="B222" s="3" t="str">
        <f>"00045687"</f>
        <v>00045687</v>
      </c>
    </row>
    <row r="223" spans="1:2" x14ac:dyDescent="0.25">
      <c r="A223" s="3">
        <v>218</v>
      </c>
      <c r="B223" s="3" t="str">
        <f>"00045771"</f>
        <v>00045771</v>
      </c>
    </row>
    <row r="224" spans="1:2" x14ac:dyDescent="0.25">
      <c r="A224" s="3">
        <v>219</v>
      </c>
      <c r="B224" s="3" t="str">
        <f>"00045898"</f>
        <v>00045898</v>
      </c>
    </row>
    <row r="225" spans="1:2" x14ac:dyDescent="0.25">
      <c r="A225" s="3">
        <v>220</v>
      </c>
      <c r="B225" s="3" t="str">
        <f>"00045919"</f>
        <v>00045919</v>
      </c>
    </row>
    <row r="226" spans="1:2" x14ac:dyDescent="0.25">
      <c r="A226" s="3">
        <v>221</v>
      </c>
      <c r="B226" s="3" t="str">
        <f>"00046122"</f>
        <v>00046122</v>
      </c>
    </row>
    <row r="227" spans="1:2" x14ac:dyDescent="0.25">
      <c r="A227" s="3">
        <v>222</v>
      </c>
      <c r="B227" s="3" t="str">
        <f>"00046334"</f>
        <v>00046334</v>
      </c>
    </row>
    <row r="228" spans="1:2" x14ac:dyDescent="0.25">
      <c r="A228" s="3">
        <v>223</v>
      </c>
      <c r="B228" s="3" t="str">
        <f>"00046344"</f>
        <v>00046344</v>
      </c>
    </row>
    <row r="229" spans="1:2" x14ac:dyDescent="0.25">
      <c r="A229" s="3">
        <v>224</v>
      </c>
      <c r="B229" s="3" t="str">
        <f>"00046348"</f>
        <v>00046348</v>
      </c>
    </row>
    <row r="230" spans="1:2" x14ac:dyDescent="0.25">
      <c r="A230" s="3">
        <v>225</v>
      </c>
      <c r="B230" s="3" t="str">
        <f>"00046454"</f>
        <v>00046454</v>
      </c>
    </row>
    <row r="231" spans="1:2" x14ac:dyDescent="0.25">
      <c r="A231" s="3">
        <v>226</v>
      </c>
      <c r="B231" s="3" t="str">
        <f>"00046574"</f>
        <v>00046574</v>
      </c>
    </row>
    <row r="232" spans="1:2" x14ac:dyDescent="0.25">
      <c r="A232" s="3">
        <v>227</v>
      </c>
      <c r="B232" s="3" t="str">
        <f>"00046723"</f>
        <v>00046723</v>
      </c>
    </row>
    <row r="233" spans="1:2" x14ac:dyDescent="0.25">
      <c r="A233" s="3">
        <v>228</v>
      </c>
      <c r="B233" s="3" t="str">
        <f>"00046731"</f>
        <v>00046731</v>
      </c>
    </row>
    <row r="234" spans="1:2" x14ac:dyDescent="0.25">
      <c r="A234" s="3">
        <v>229</v>
      </c>
      <c r="B234" s="3" t="str">
        <f>"00046892"</f>
        <v>00046892</v>
      </c>
    </row>
    <row r="235" spans="1:2" x14ac:dyDescent="0.25">
      <c r="A235" s="3">
        <v>230</v>
      </c>
      <c r="B235" s="3" t="str">
        <f>"00046906"</f>
        <v>00046906</v>
      </c>
    </row>
    <row r="236" spans="1:2" x14ac:dyDescent="0.25">
      <c r="A236" s="3">
        <v>231</v>
      </c>
      <c r="B236" s="3" t="str">
        <f>"00047663"</f>
        <v>00047663</v>
      </c>
    </row>
    <row r="237" spans="1:2" x14ac:dyDescent="0.25">
      <c r="A237" s="3">
        <v>232</v>
      </c>
      <c r="B237" s="3" t="str">
        <f>"00047676"</f>
        <v>00047676</v>
      </c>
    </row>
    <row r="238" spans="1:2" x14ac:dyDescent="0.25">
      <c r="A238" s="3">
        <v>233</v>
      </c>
      <c r="B238" s="3" t="str">
        <f>"00048026"</f>
        <v>00048026</v>
      </c>
    </row>
    <row r="239" spans="1:2" x14ac:dyDescent="0.25">
      <c r="A239" s="3">
        <v>234</v>
      </c>
      <c r="B239" s="3" t="str">
        <f>"00048124"</f>
        <v>00048124</v>
      </c>
    </row>
    <row r="240" spans="1:2" x14ac:dyDescent="0.25">
      <c r="A240" s="3">
        <v>235</v>
      </c>
      <c r="B240" s="3" t="str">
        <f>"00048125"</f>
        <v>00048125</v>
      </c>
    </row>
    <row r="241" spans="1:2" x14ac:dyDescent="0.25">
      <c r="A241" s="3">
        <v>236</v>
      </c>
      <c r="B241" s="3" t="str">
        <f>"00048171"</f>
        <v>00048171</v>
      </c>
    </row>
    <row r="242" spans="1:2" x14ac:dyDescent="0.25">
      <c r="A242" s="3">
        <v>237</v>
      </c>
      <c r="B242" s="3" t="str">
        <f>"00048229"</f>
        <v>00048229</v>
      </c>
    </row>
    <row r="243" spans="1:2" x14ac:dyDescent="0.25">
      <c r="A243" s="3">
        <v>238</v>
      </c>
      <c r="B243" s="3" t="str">
        <f>"00048983"</f>
        <v>00048983</v>
      </c>
    </row>
    <row r="244" spans="1:2" x14ac:dyDescent="0.25">
      <c r="A244" s="3">
        <v>239</v>
      </c>
      <c r="B244" s="3" t="str">
        <f>"00049618"</f>
        <v>00049618</v>
      </c>
    </row>
    <row r="245" spans="1:2" x14ac:dyDescent="0.25">
      <c r="A245" s="3">
        <v>240</v>
      </c>
      <c r="B245" s="3" t="str">
        <f>"00050475"</f>
        <v>00050475</v>
      </c>
    </row>
    <row r="246" spans="1:2" x14ac:dyDescent="0.25">
      <c r="A246" s="3">
        <v>241</v>
      </c>
      <c r="B246" s="3" t="str">
        <f>"00050479"</f>
        <v>00050479</v>
      </c>
    </row>
    <row r="247" spans="1:2" x14ac:dyDescent="0.25">
      <c r="A247" s="3">
        <v>242</v>
      </c>
      <c r="B247" s="3" t="str">
        <f>"00050708"</f>
        <v>00050708</v>
      </c>
    </row>
    <row r="248" spans="1:2" x14ac:dyDescent="0.25">
      <c r="A248" s="3">
        <v>243</v>
      </c>
      <c r="B248" s="3" t="str">
        <f>"00054657"</f>
        <v>00054657</v>
      </c>
    </row>
    <row r="249" spans="1:2" x14ac:dyDescent="0.25">
      <c r="A249" s="3">
        <v>244</v>
      </c>
      <c r="B249" s="3" t="str">
        <f>"00057844"</f>
        <v>00057844</v>
      </c>
    </row>
    <row r="250" spans="1:2" x14ac:dyDescent="0.25">
      <c r="A250" s="3">
        <v>245</v>
      </c>
      <c r="B250" s="3" t="str">
        <f>"00058721"</f>
        <v>00058721</v>
      </c>
    </row>
    <row r="251" spans="1:2" x14ac:dyDescent="0.25">
      <c r="A251" s="3">
        <v>246</v>
      </c>
      <c r="B251" s="3" t="str">
        <f>"00063045"</f>
        <v>00063045</v>
      </c>
    </row>
    <row r="252" spans="1:2" x14ac:dyDescent="0.25">
      <c r="A252" s="3">
        <v>247</v>
      </c>
      <c r="B252" s="3" t="str">
        <f>"00068045"</f>
        <v>00068045</v>
      </c>
    </row>
    <row r="253" spans="1:2" x14ac:dyDescent="0.25">
      <c r="A253" s="3">
        <v>248</v>
      </c>
      <c r="B253" s="3" t="str">
        <f>"00068594"</f>
        <v>00068594</v>
      </c>
    </row>
    <row r="254" spans="1:2" x14ac:dyDescent="0.25">
      <c r="A254" s="3">
        <v>249</v>
      </c>
      <c r="B254" s="3" t="str">
        <f>"00068937"</f>
        <v>00068937</v>
      </c>
    </row>
    <row r="255" spans="1:2" x14ac:dyDescent="0.25">
      <c r="A255" s="3">
        <v>250</v>
      </c>
      <c r="B255" s="3" t="str">
        <f>"00069372"</f>
        <v>00069372</v>
      </c>
    </row>
    <row r="256" spans="1:2" x14ac:dyDescent="0.25">
      <c r="A256" s="3">
        <v>251</v>
      </c>
      <c r="B256" s="3" t="str">
        <f>"00069440"</f>
        <v>00069440</v>
      </c>
    </row>
    <row r="257" spans="1:2" x14ac:dyDescent="0.25">
      <c r="A257" s="3">
        <v>252</v>
      </c>
      <c r="B257" s="3" t="str">
        <f>"00069700"</f>
        <v>00069700</v>
      </c>
    </row>
    <row r="258" spans="1:2" x14ac:dyDescent="0.25">
      <c r="A258" s="3">
        <v>253</v>
      </c>
      <c r="B258" s="3" t="str">
        <f>"00069804"</f>
        <v>00069804</v>
      </c>
    </row>
    <row r="259" spans="1:2" x14ac:dyDescent="0.25">
      <c r="A259" s="3">
        <v>254</v>
      </c>
      <c r="B259" s="3" t="str">
        <f>"00069850"</f>
        <v>00069850</v>
      </c>
    </row>
    <row r="260" spans="1:2" x14ac:dyDescent="0.25">
      <c r="A260" s="3">
        <v>255</v>
      </c>
      <c r="B260" s="3" t="str">
        <f>"00069893"</f>
        <v>00069893</v>
      </c>
    </row>
    <row r="261" spans="1:2" x14ac:dyDescent="0.25">
      <c r="A261" s="3">
        <v>256</v>
      </c>
      <c r="B261" s="3" t="str">
        <f>"00069912"</f>
        <v>00069912</v>
      </c>
    </row>
    <row r="262" spans="1:2" x14ac:dyDescent="0.25">
      <c r="A262" s="3">
        <v>257</v>
      </c>
      <c r="B262" s="3" t="str">
        <f>"00069925"</f>
        <v>00069925</v>
      </c>
    </row>
    <row r="263" spans="1:2" x14ac:dyDescent="0.25">
      <c r="A263" s="3">
        <v>258</v>
      </c>
      <c r="B263" s="3" t="str">
        <f>"00070010"</f>
        <v>00070010</v>
      </c>
    </row>
    <row r="264" spans="1:2" x14ac:dyDescent="0.25">
      <c r="A264" s="3">
        <v>259</v>
      </c>
      <c r="B264" s="3" t="str">
        <f>"00070153"</f>
        <v>00070153</v>
      </c>
    </row>
    <row r="265" spans="1:2" x14ac:dyDescent="0.25">
      <c r="A265" s="3">
        <v>260</v>
      </c>
      <c r="B265" s="3" t="str">
        <f>"00070205"</f>
        <v>00070205</v>
      </c>
    </row>
    <row r="266" spans="1:2" x14ac:dyDescent="0.25">
      <c r="A266" s="3">
        <v>261</v>
      </c>
      <c r="B266" s="3" t="str">
        <f>"00070568"</f>
        <v>00070568</v>
      </c>
    </row>
    <row r="267" spans="1:2" x14ac:dyDescent="0.25">
      <c r="A267" s="3">
        <v>262</v>
      </c>
      <c r="B267" s="3" t="str">
        <f>"00070628"</f>
        <v>00070628</v>
      </c>
    </row>
    <row r="268" spans="1:2" x14ac:dyDescent="0.25">
      <c r="A268" s="3">
        <v>263</v>
      </c>
      <c r="B268" s="3" t="str">
        <f>"00070781"</f>
        <v>00070781</v>
      </c>
    </row>
    <row r="269" spans="1:2" x14ac:dyDescent="0.25">
      <c r="A269" s="3">
        <v>264</v>
      </c>
      <c r="B269" s="3" t="str">
        <f>"00071462"</f>
        <v>00071462</v>
      </c>
    </row>
    <row r="270" spans="1:2" x14ac:dyDescent="0.25">
      <c r="A270" s="3">
        <v>265</v>
      </c>
      <c r="B270" s="3" t="str">
        <f>"00071747"</f>
        <v>00071747</v>
      </c>
    </row>
    <row r="271" spans="1:2" x14ac:dyDescent="0.25">
      <c r="A271" s="3">
        <v>266</v>
      </c>
      <c r="B271" s="3" t="str">
        <f>"00072115"</f>
        <v>00072115</v>
      </c>
    </row>
    <row r="272" spans="1:2" x14ac:dyDescent="0.25">
      <c r="A272" s="3">
        <v>267</v>
      </c>
      <c r="B272" s="3" t="str">
        <f>"00072730"</f>
        <v>00072730</v>
      </c>
    </row>
    <row r="273" spans="1:2" x14ac:dyDescent="0.25">
      <c r="A273" s="3">
        <v>268</v>
      </c>
      <c r="B273" s="3" t="str">
        <f>"00072822"</f>
        <v>00072822</v>
      </c>
    </row>
    <row r="274" spans="1:2" x14ac:dyDescent="0.25">
      <c r="A274" s="3">
        <v>269</v>
      </c>
      <c r="B274" s="3" t="str">
        <f>"00072909"</f>
        <v>00072909</v>
      </c>
    </row>
    <row r="275" spans="1:2" x14ac:dyDescent="0.25">
      <c r="A275" s="3">
        <v>270</v>
      </c>
      <c r="B275" s="3" t="str">
        <f>"00073108"</f>
        <v>00073108</v>
      </c>
    </row>
    <row r="276" spans="1:2" x14ac:dyDescent="0.25">
      <c r="A276" s="3">
        <v>271</v>
      </c>
      <c r="B276" s="3" t="str">
        <f>"00073127"</f>
        <v>00073127</v>
      </c>
    </row>
    <row r="277" spans="1:2" x14ac:dyDescent="0.25">
      <c r="A277" s="3">
        <v>272</v>
      </c>
      <c r="B277" s="3" t="str">
        <f>"00073151"</f>
        <v>00073151</v>
      </c>
    </row>
    <row r="278" spans="1:2" x14ac:dyDescent="0.25">
      <c r="A278" s="3">
        <v>273</v>
      </c>
      <c r="B278" s="3" t="str">
        <f>"00073225"</f>
        <v>00073225</v>
      </c>
    </row>
    <row r="279" spans="1:2" x14ac:dyDescent="0.25">
      <c r="A279" s="3">
        <v>274</v>
      </c>
      <c r="B279" s="3" t="str">
        <f>"00073320"</f>
        <v>00073320</v>
      </c>
    </row>
    <row r="280" spans="1:2" x14ac:dyDescent="0.25">
      <c r="A280" s="3">
        <v>275</v>
      </c>
      <c r="B280" s="3" t="str">
        <f>"00073379"</f>
        <v>00073379</v>
      </c>
    </row>
    <row r="281" spans="1:2" x14ac:dyDescent="0.25">
      <c r="A281" s="3">
        <v>276</v>
      </c>
      <c r="B281" s="3" t="str">
        <f>"00073586"</f>
        <v>00073586</v>
      </c>
    </row>
    <row r="282" spans="1:2" x14ac:dyDescent="0.25">
      <c r="A282" s="3">
        <v>277</v>
      </c>
      <c r="B282" s="3" t="str">
        <f>"00073845"</f>
        <v>00073845</v>
      </c>
    </row>
    <row r="283" spans="1:2" x14ac:dyDescent="0.25">
      <c r="A283" s="3">
        <v>278</v>
      </c>
      <c r="B283" s="3" t="str">
        <f>"00073866"</f>
        <v>00073866</v>
      </c>
    </row>
    <row r="284" spans="1:2" x14ac:dyDescent="0.25">
      <c r="A284" s="3">
        <v>279</v>
      </c>
      <c r="B284" s="3" t="str">
        <f>"00073877"</f>
        <v>00073877</v>
      </c>
    </row>
    <row r="285" spans="1:2" x14ac:dyDescent="0.25">
      <c r="A285" s="3">
        <v>280</v>
      </c>
      <c r="B285" s="3" t="str">
        <f>"00073916"</f>
        <v>00073916</v>
      </c>
    </row>
    <row r="286" spans="1:2" x14ac:dyDescent="0.25">
      <c r="A286" s="3">
        <v>281</v>
      </c>
      <c r="B286" s="3" t="str">
        <f>"00073945"</f>
        <v>00073945</v>
      </c>
    </row>
    <row r="287" spans="1:2" x14ac:dyDescent="0.25">
      <c r="A287" s="3">
        <v>282</v>
      </c>
      <c r="B287" s="3" t="str">
        <f>"00074311"</f>
        <v>00074311</v>
      </c>
    </row>
    <row r="288" spans="1:2" x14ac:dyDescent="0.25">
      <c r="A288" s="3">
        <v>283</v>
      </c>
      <c r="B288" s="3" t="str">
        <f>"00074366"</f>
        <v>00074366</v>
      </c>
    </row>
    <row r="289" spans="1:2" x14ac:dyDescent="0.25">
      <c r="A289" s="3">
        <v>284</v>
      </c>
      <c r="B289" s="3" t="str">
        <f>"00074929"</f>
        <v>00074929</v>
      </c>
    </row>
    <row r="290" spans="1:2" x14ac:dyDescent="0.25">
      <c r="A290" s="3">
        <v>285</v>
      </c>
      <c r="B290" s="3" t="str">
        <f>"00074999"</f>
        <v>00074999</v>
      </c>
    </row>
    <row r="291" spans="1:2" x14ac:dyDescent="0.25">
      <c r="A291" s="3">
        <v>286</v>
      </c>
      <c r="B291" s="3" t="str">
        <f>"00075033"</f>
        <v>00075033</v>
      </c>
    </row>
    <row r="292" spans="1:2" x14ac:dyDescent="0.25">
      <c r="A292" s="3">
        <v>287</v>
      </c>
      <c r="B292" s="3" t="str">
        <f>"00075039"</f>
        <v>00075039</v>
      </c>
    </row>
    <row r="293" spans="1:2" x14ac:dyDescent="0.25">
      <c r="A293" s="3">
        <v>288</v>
      </c>
      <c r="B293" s="3" t="str">
        <f>"00075053"</f>
        <v>00075053</v>
      </c>
    </row>
    <row r="294" spans="1:2" x14ac:dyDescent="0.25">
      <c r="A294" s="3">
        <v>289</v>
      </c>
      <c r="B294" s="3" t="str">
        <f>"00075061"</f>
        <v>00075061</v>
      </c>
    </row>
    <row r="295" spans="1:2" x14ac:dyDescent="0.25">
      <c r="A295" s="3">
        <v>290</v>
      </c>
      <c r="B295" s="3" t="str">
        <f>"00075069"</f>
        <v>00075069</v>
      </c>
    </row>
    <row r="296" spans="1:2" x14ac:dyDescent="0.25">
      <c r="A296" s="3">
        <v>291</v>
      </c>
      <c r="B296" s="3" t="str">
        <f>"00075239"</f>
        <v>00075239</v>
      </c>
    </row>
    <row r="297" spans="1:2" x14ac:dyDescent="0.25">
      <c r="A297" s="3">
        <v>292</v>
      </c>
      <c r="B297" s="3" t="str">
        <f>"00075398"</f>
        <v>00075398</v>
      </c>
    </row>
    <row r="298" spans="1:2" x14ac:dyDescent="0.25">
      <c r="A298" s="3">
        <v>293</v>
      </c>
      <c r="B298" s="3" t="str">
        <f>"00075590"</f>
        <v>00075590</v>
      </c>
    </row>
    <row r="299" spans="1:2" x14ac:dyDescent="0.25">
      <c r="A299" s="3">
        <v>294</v>
      </c>
      <c r="B299" s="3" t="str">
        <f>"00075660"</f>
        <v>00075660</v>
      </c>
    </row>
    <row r="300" spans="1:2" x14ac:dyDescent="0.25">
      <c r="A300" s="3">
        <v>295</v>
      </c>
      <c r="B300" s="3" t="str">
        <f>"00075661"</f>
        <v>00075661</v>
      </c>
    </row>
    <row r="301" spans="1:2" x14ac:dyDescent="0.25">
      <c r="A301" s="3">
        <v>296</v>
      </c>
      <c r="B301" s="3" t="str">
        <f>"00076070"</f>
        <v>00076070</v>
      </c>
    </row>
    <row r="302" spans="1:2" x14ac:dyDescent="0.25">
      <c r="A302" s="3">
        <v>297</v>
      </c>
      <c r="B302" s="3" t="str">
        <f>"00076179"</f>
        <v>00076179</v>
      </c>
    </row>
    <row r="303" spans="1:2" x14ac:dyDescent="0.25">
      <c r="A303" s="3">
        <v>298</v>
      </c>
      <c r="B303" s="3" t="str">
        <f>"00076198"</f>
        <v>00076198</v>
      </c>
    </row>
    <row r="304" spans="1:2" x14ac:dyDescent="0.25">
      <c r="A304" s="3">
        <v>299</v>
      </c>
      <c r="B304" s="3" t="str">
        <f>"00076342"</f>
        <v>00076342</v>
      </c>
    </row>
    <row r="305" spans="1:2" x14ac:dyDescent="0.25">
      <c r="A305" s="3">
        <v>300</v>
      </c>
      <c r="B305" s="3" t="str">
        <f>"00076615"</f>
        <v>00076615</v>
      </c>
    </row>
    <row r="306" spans="1:2" x14ac:dyDescent="0.25">
      <c r="A306" s="3">
        <v>301</v>
      </c>
      <c r="B306" s="3" t="str">
        <f>"00076782"</f>
        <v>00076782</v>
      </c>
    </row>
    <row r="307" spans="1:2" x14ac:dyDescent="0.25">
      <c r="A307" s="3">
        <v>302</v>
      </c>
      <c r="B307" s="3" t="str">
        <f>"00077055"</f>
        <v>00077055</v>
      </c>
    </row>
    <row r="308" spans="1:2" x14ac:dyDescent="0.25">
      <c r="A308" s="3">
        <v>303</v>
      </c>
      <c r="B308" s="3" t="str">
        <f>"00077448"</f>
        <v>00077448</v>
      </c>
    </row>
    <row r="309" spans="1:2" x14ac:dyDescent="0.25">
      <c r="A309" s="3">
        <v>304</v>
      </c>
      <c r="B309" s="3" t="str">
        <f>"00078233"</f>
        <v>00078233</v>
      </c>
    </row>
    <row r="310" spans="1:2" x14ac:dyDescent="0.25">
      <c r="A310" s="3">
        <v>305</v>
      </c>
      <c r="B310" s="3" t="str">
        <f>"00078257"</f>
        <v>00078257</v>
      </c>
    </row>
    <row r="311" spans="1:2" x14ac:dyDescent="0.25">
      <c r="A311" s="3">
        <v>306</v>
      </c>
      <c r="B311" s="3" t="str">
        <f>"00079105"</f>
        <v>00079105</v>
      </c>
    </row>
    <row r="312" spans="1:2" x14ac:dyDescent="0.25">
      <c r="A312" s="3">
        <v>307</v>
      </c>
      <c r="B312" s="3" t="str">
        <f>"00079163"</f>
        <v>00079163</v>
      </c>
    </row>
    <row r="313" spans="1:2" x14ac:dyDescent="0.25">
      <c r="A313" s="3">
        <v>308</v>
      </c>
      <c r="B313" s="3" t="str">
        <f>"00079216"</f>
        <v>00079216</v>
      </c>
    </row>
    <row r="314" spans="1:2" x14ac:dyDescent="0.25">
      <c r="A314" s="3">
        <v>309</v>
      </c>
      <c r="B314" s="3" t="str">
        <f>"00079315"</f>
        <v>00079315</v>
      </c>
    </row>
    <row r="315" spans="1:2" x14ac:dyDescent="0.25">
      <c r="A315" s="3">
        <v>310</v>
      </c>
      <c r="B315" s="3" t="str">
        <f>"00079760"</f>
        <v>00079760</v>
      </c>
    </row>
    <row r="316" spans="1:2" x14ac:dyDescent="0.25">
      <c r="A316" s="3">
        <v>311</v>
      </c>
      <c r="B316" s="3" t="str">
        <f>"00079820"</f>
        <v>00079820</v>
      </c>
    </row>
    <row r="317" spans="1:2" x14ac:dyDescent="0.25">
      <c r="A317" s="3">
        <v>312</v>
      </c>
      <c r="B317" s="3" t="str">
        <f>"00079889"</f>
        <v>00079889</v>
      </c>
    </row>
    <row r="318" spans="1:2" x14ac:dyDescent="0.25">
      <c r="A318" s="3">
        <v>313</v>
      </c>
      <c r="B318" s="3" t="str">
        <f>"00080339"</f>
        <v>00080339</v>
      </c>
    </row>
    <row r="319" spans="1:2" x14ac:dyDescent="0.25">
      <c r="A319" s="3">
        <v>314</v>
      </c>
      <c r="B319" s="3" t="str">
        <f>"00080349"</f>
        <v>00080349</v>
      </c>
    </row>
    <row r="320" spans="1:2" x14ac:dyDescent="0.25">
      <c r="A320" s="3">
        <v>315</v>
      </c>
      <c r="B320" s="3" t="str">
        <f>"00080439"</f>
        <v>00080439</v>
      </c>
    </row>
    <row r="321" spans="1:2" x14ac:dyDescent="0.25">
      <c r="A321" s="3">
        <v>316</v>
      </c>
      <c r="B321" s="3" t="str">
        <f>"00080471"</f>
        <v>00080471</v>
      </c>
    </row>
    <row r="322" spans="1:2" x14ac:dyDescent="0.25">
      <c r="A322" s="3">
        <v>317</v>
      </c>
      <c r="B322" s="3" t="str">
        <f>"00080931"</f>
        <v>00080931</v>
      </c>
    </row>
    <row r="323" spans="1:2" x14ac:dyDescent="0.25">
      <c r="A323" s="3">
        <v>318</v>
      </c>
      <c r="B323" s="3" t="str">
        <f>"00081371"</f>
        <v>00081371</v>
      </c>
    </row>
    <row r="324" spans="1:2" x14ac:dyDescent="0.25">
      <c r="A324" s="3">
        <v>319</v>
      </c>
      <c r="B324" s="3" t="str">
        <f>"00081380"</f>
        <v>00081380</v>
      </c>
    </row>
    <row r="325" spans="1:2" x14ac:dyDescent="0.25">
      <c r="A325" s="3">
        <v>320</v>
      </c>
      <c r="B325" s="3" t="str">
        <f>"00082748"</f>
        <v>00082748</v>
      </c>
    </row>
    <row r="326" spans="1:2" x14ac:dyDescent="0.25">
      <c r="A326" s="3">
        <v>321</v>
      </c>
      <c r="B326" s="3" t="str">
        <f>"00083235"</f>
        <v>00083235</v>
      </c>
    </row>
    <row r="327" spans="1:2" x14ac:dyDescent="0.25">
      <c r="A327" s="3">
        <v>322</v>
      </c>
      <c r="B327" s="3" t="str">
        <f>"00083398"</f>
        <v>00083398</v>
      </c>
    </row>
    <row r="328" spans="1:2" x14ac:dyDescent="0.25">
      <c r="A328" s="3">
        <v>323</v>
      </c>
      <c r="B328" s="3" t="str">
        <f>"00083622"</f>
        <v>00083622</v>
      </c>
    </row>
    <row r="329" spans="1:2" x14ac:dyDescent="0.25">
      <c r="A329" s="3">
        <v>324</v>
      </c>
      <c r="B329" s="3" t="str">
        <f>"00083872"</f>
        <v>00083872</v>
      </c>
    </row>
    <row r="330" spans="1:2" x14ac:dyDescent="0.25">
      <c r="A330" s="3">
        <v>325</v>
      </c>
      <c r="B330" s="3" t="str">
        <f>"00084050"</f>
        <v>00084050</v>
      </c>
    </row>
    <row r="331" spans="1:2" x14ac:dyDescent="0.25">
      <c r="A331" s="3">
        <v>326</v>
      </c>
      <c r="B331" s="3" t="str">
        <f>"00084195"</f>
        <v>00084195</v>
      </c>
    </row>
    <row r="332" spans="1:2" x14ac:dyDescent="0.25">
      <c r="A332" s="3">
        <v>327</v>
      </c>
      <c r="B332" s="3" t="str">
        <f>"00084286"</f>
        <v>00084286</v>
      </c>
    </row>
    <row r="333" spans="1:2" x14ac:dyDescent="0.25">
      <c r="A333" s="3">
        <v>328</v>
      </c>
      <c r="B333" s="3" t="str">
        <f>"00084498"</f>
        <v>00084498</v>
      </c>
    </row>
    <row r="334" spans="1:2" x14ac:dyDescent="0.25">
      <c r="A334" s="3">
        <v>329</v>
      </c>
      <c r="B334" s="3" t="str">
        <f>"00084659"</f>
        <v>00084659</v>
      </c>
    </row>
    <row r="335" spans="1:2" x14ac:dyDescent="0.25">
      <c r="A335" s="3">
        <v>330</v>
      </c>
      <c r="B335" s="3" t="str">
        <f>"00084919"</f>
        <v>00084919</v>
      </c>
    </row>
    <row r="336" spans="1:2" x14ac:dyDescent="0.25">
      <c r="A336" s="3">
        <v>331</v>
      </c>
      <c r="B336" s="3" t="str">
        <f>"00085595"</f>
        <v>00085595</v>
      </c>
    </row>
    <row r="337" spans="1:2" x14ac:dyDescent="0.25">
      <c r="A337" s="3">
        <v>332</v>
      </c>
      <c r="B337" s="3" t="str">
        <f>"00085718"</f>
        <v>00085718</v>
      </c>
    </row>
    <row r="338" spans="1:2" x14ac:dyDescent="0.25">
      <c r="A338" s="3">
        <v>333</v>
      </c>
      <c r="B338" s="3" t="str">
        <f>"00085752"</f>
        <v>00085752</v>
      </c>
    </row>
    <row r="339" spans="1:2" x14ac:dyDescent="0.25">
      <c r="A339" s="3">
        <v>334</v>
      </c>
      <c r="B339" s="3" t="str">
        <f>"00086589"</f>
        <v>00086589</v>
      </c>
    </row>
    <row r="340" spans="1:2" x14ac:dyDescent="0.25">
      <c r="A340" s="3">
        <v>335</v>
      </c>
      <c r="B340" s="3" t="str">
        <f>"00086863"</f>
        <v>00086863</v>
      </c>
    </row>
    <row r="341" spans="1:2" x14ac:dyDescent="0.25">
      <c r="A341" s="3">
        <v>336</v>
      </c>
      <c r="B341" s="3" t="str">
        <f>"00086936"</f>
        <v>00086936</v>
      </c>
    </row>
    <row r="342" spans="1:2" x14ac:dyDescent="0.25">
      <c r="A342" s="3">
        <v>337</v>
      </c>
      <c r="B342" s="3" t="str">
        <f>"00086938"</f>
        <v>00086938</v>
      </c>
    </row>
    <row r="343" spans="1:2" x14ac:dyDescent="0.25">
      <c r="A343" s="3">
        <v>338</v>
      </c>
      <c r="B343" s="3" t="str">
        <f>"00087034"</f>
        <v>00087034</v>
      </c>
    </row>
    <row r="344" spans="1:2" x14ac:dyDescent="0.25">
      <c r="A344" s="3">
        <v>339</v>
      </c>
      <c r="B344" s="3" t="str">
        <f>"00087125"</f>
        <v>00087125</v>
      </c>
    </row>
    <row r="345" spans="1:2" x14ac:dyDescent="0.25">
      <c r="A345" s="3">
        <v>340</v>
      </c>
      <c r="B345" s="3" t="str">
        <f>"00087466"</f>
        <v>00087466</v>
      </c>
    </row>
    <row r="346" spans="1:2" x14ac:dyDescent="0.25">
      <c r="A346" s="3">
        <v>341</v>
      </c>
      <c r="B346" s="3" t="str">
        <f>"00087590"</f>
        <v>00087590</v>
      </c>
    </row>
    <row r="347" spans="1:2" x14ac:dyDescent="0.25">
      <c r="A347" s="3">
        <v>342</v>
      </c>
      <c r="B347" s="3" t="str">
        <f>"00087686"</f>
        <v>00087686</v>
      </c>
    </row>
    <row r="348" spans="1:2" x14ac:dyDescent="0.25">
      <c r="A348" s="3">
        <v>343</v>
      </c>
      <c r="B348" s="3" t="str">
        <f>"00087903"</f>
        <v>00087903</v>
      </c>
    </row>
    <row r="349" spans="1:2" x14ac:dyDescent="0.25">
      <c r="A349" s="3">
        <v>344</v>
      </c>
      <c r="B349" s="3" t="str">
        <f>"00087962"</f>
        <v>00087962</v>
      </c>
    </row>
    <row r="350" spans="1:2" x14ac:dyDescent="0.25">
      <c r="A350" s="3">
        <v>345</v>
      </c>
      <c r="B350" s="3" t="str">
        <f>"00088094"</f>
        <v>00088094</v>
      </c>
    </row>
    <row r="351" spans="1:2" x14ac:dyDescent="0.25">
      <c r="A351" s="3">
        <v>346</v>
      </c>
      <c r="B351" s="3" t="str">
        <f>"00088298"</f>
        <v>00088298</v>
      </c>
    </row>
    <row r="352" spans="1:2" x14ac:dyDescent="0.25">
      <c r="A352" s="3">
        <v>347</v>
      </c>
      <c r="B352" s="3" t="str">
        <f>"00088647"</f>
        <v>00088647</v>
      </c>
    </row>
    <row r="353" spans="1:2" x14ac:dyDescent="0.25">
      <c r="A353" s="3">
        <v>348</v>
      </c>
      <c r="B353" s="3" t="str">
        <f>"00088662"</f>
        <v>00088662</v>
      </c>
    </row>
    <row r="354" spans="1:2" x14ac:dyDescent="0.25">
      <c r="A354" s="3">
        <v>349</v>
      </c>
      <c r="B354" s="3" t="str">
        <f>"00089064"</f>
        <v>00089064</v>
      </c>
    </row>
    <row r="355" spans="1:2" x14ac:dyDescent="0.25">
      <c r="A355" s="3">
        <v>350</v>
      </c>
      <c r="B355" s="3" t="str">
        <f>"00089105"</f>
        <v>00089105</v>
      </c>
    </row>
    <row r="356" spans="1:2" x14ac:dyDescent="0.25">
      <c r="A356" s="3">
        <v>351</v>
      </c>
      <c r="B356" s="3" t="str">
        <f>"00089151"</f>
        <v>00089151</v>
      </c>
    </row>
    <row r="357" spans="1:2" x14ac:dyDescent="0.25">
      <c r="A357" s="3">
        <v>352</v>
      </c>
      <c r="B357" s="3" t="str">
        <f>"00089195"</f>
        <v>00089195</v>
      </c>
    </row>
    <row r="358" spans="1:2" x14ac:dyDescent="0.25">
      <c r="A358" s="3">
        <v>353</v>
      </c>
      <c r="B358" s="3" t="str">
        <f>"00089797"</f>
        <v>00089797</v>
      </c>
    </row>
    <row r="359" spans="1:2" x14ac:dyDescent="0.25">
      <c r="A359" s="3">
        <v>354</v>
      </c>
      <c r="B359" s="3" t="str">
        <f>"00089996"</f>
        <v>00089996</v>
      </c>
    </row>
    <row r="360" spans="1:2" x14ac:dyDescent="0.25">
      <c r="A360" s="3">
        <v>355</v>
      </c>
      <c r="B360" s="3" t="str">
        <f>"00090014"</f>
        <v>00090014</v>
      </c>
    </row>
    <row r="361" spans="1:2" x14ac:dyDescent="0.25">
      <c r="A361" s="3">
        <v>356</v>
      </c>
      <c r="B361" s="3" t="str">
        <f>"00090137"</f>
        <v>00090137</v>
      </c>
    </row>
    <row r="362" spans="1:2" x14ac:dyDescent="0.25">
      <c r="A362" s="3">
        <v>357</v>
      </c>
      <c r="B362" s="3" t="str">
        <f>"00090199"</f>
        <v>00090199</v>
      </c>
    </row>
    <row r="363" spans="1:2" x14ac:dyDescent="0.25">
      <c r="A363" s="3">
        <v>358</v>
      </c>
      <c r="B363" s="3" t="str">
        <f>"00090249"</f>
        <v>00090249</v>
      </c>
    </row>
    <row r="364" spans="1:2" x14ac:dyDescent="0.25">
      <c r="A364" s="3">
        <v>359</v>
      </c>
      <c r="B364" s="3" t="str">
        <f>"00090440"</f>
        <v>00090440</v>
      </c>
    </row>
    <row r="365" spans="1:2" x14ac:dyDescent="0.25">
      <c r="A365" s="3">
        <v>360</v>
      </c>
      <c r="B365" s="3" t="str">
        <f>"00090641"</f>
        <v>00090641</v>
      </c>
    </row>
    <row r="366" spans="1:2" x14ac:dyDescent="0.25">
      <c r="A366" s="3">
        <v>361</v>
      </c>
      <c r="B366" s="3" t="str">
        <f>"00090678"</f>
        <v>00090678</v>
      </c>
    </row>
    <row r="367" spans="1:2" x14ac:dyDescent="0.25">
      <c r="A367" s="3">
        <v>362</v>
      </c>
      <c r="B367" s="3" t="str">
        <f>"00091805"</f>
        <v>00091805</v>
      </c>
    </row>
    <row r="368" spans="1:2" x14ac:dyDescent="0.25">
      <c r="A368" s="3">
        <v>363</v>
      </c>
      <c r="B368" s="3" t="str">
        <f>"00092315"</f>
        <v>00092315</v>
      </c>
    </row>
    <row r="369" spans="1:2" x14ac:dyDescent="0.25">
      <c r="A369" s="3">
        <v>364</v>
      </c>
      <c r="B369" s="3" t="str">
        <f>"00092594"</f>
        <v>00092594</v>
      </c>
    </row>
    <row r="370" spans="1:2" x14ac:dyDescent="0.25">
      <c r="A370" s="3">
        <v>365</v>
      </c>
      <c r="B370" s="3" t="str">
        <f>"00093410"</f>
        <v>00093410</v>
      </c>
    </row>
    <row r="371" spans="1:2" x14ac:dyDescent="0.25">
      <c r="A371" s="3">
        <v>366</v>
      </c>
      <c r="B371" s="3" t="str">
        <f>"00093434"</f>
        <v>00093434</v>
      </c>
    </row>
    <row r="372" spans="1:2" x14ac:dyDescent="0.25">
      <c r="A372" s="3">
        <v>367</v>
      </c>
      <c r="B372" s="3" t="str">
        <f>"00093435"</f>
        <v>00093435</v>
      </c>
    </row>
    <row r="373" spans="1:2" x14ac:dyDescent="0.25">
      <c r="A373" s="3">
        <v>368</v>
      </c>
      <c r="B373" s="3" t="str">
        <f>"00093454"</f>
        <v>00093454</v>
      </c>
    </row>
    <row r="374" spans="1:2" x14ac:dyDescent="0.25">
      <c r="A374" s="3">
        <v>369</v>
      </c>
      <c r="B374" s="3" t="str">
        <f>"00093492"</f>
        <v>00093492</v>
      </c>
    </row>
    <row r="375" spans="1:2" x14ac:dyDescent="0.25">
      <c r="A375" s="3">
        <v>370</v>
      </c>
      <c r="B375" s="3" t="str">
        <f>"00093611"</f>
        <v>00093611</v>
      </c>
    </row>
    <row r="376" spans="1:2" x14ac:dyDescent="0.25">
      <c r="A376" s="3">
        <v>371</v>
      </c>
      <c r="B376" s="3" t="str">
        <f>"00093648"</f>
        <v>00093648</v>
      </c>
    </row>
    <row r="377" spans="1:2" x14ac:dyDescent="0.25">
      <c r="A377" s="3">
        <v>372</v>
      </c>
      <c r="B377" s="3" t="str">
        <f>"00093707"</f>
        <v>00093707</v>
      </c>
    </row>
    <row r="378" spans="1:2" x14ac:dyDescent="0.25">
      <c r="A378" s="3">
        <v>373</v>
      </c>
      <c r="B378" s="3" t="str">
        <f>"00094026"</f>
        <v>00094026</v>
      </c>
    </row>
    <row r="379" spans="1:2" x14ac:dyDescent="0.25">
      <c r="A379" s="3">
        <v>374</v>
      </c>
      <c r="B379" s="3" t="str">
        <f>"00094219"</f>
        <v>00094219</v>
      </c>
    </row>
    <row r="380" spans="1:2" x14ac:dyDescent="0.25">
      <c r="A380" s="3">
        <v>375</v>
      </c>
      <c r="B380" s="3" t="str">
        <f>"00094448"</f>
        <v>00094448</v>
      </c>
    </row>
    <row r="381" spans="1:2" x14ac:dyDescent="0.25">
      <c r="A381" s="3">
        <v>376</v>
      </c>
      <c r="B381" s="3" t="str">
        <f>"00094634"</f>
        <v>00094634</v>
      </c>
    </row>
    <row r="382" spans="1:2" x14ac:dyDescent="0.25">
      <c r="A382" s="3">
        <v>377</v>
      </c>
      <c r="B382" s="3" t="str">
        <f>"00094662"</f>
        <v>00094662</v>
      </c>
    </row>
    <row r="383" spans="1:2" x14ac:dyDescent="0.25">
      <c r="A383" s="3">
        <v>378</v>
      </c>
      <c r="B383" s="3" t="str">
        <f>"00094786"</f>
        <v>00094786</v>
      </c>
    </row>
    <row r="384" spans="1:2" x14ac:dyDescent="0.25">
      <c r="A384" s="3">
        <v>379</v>
      </c>
      <c r="B384" s="3" t="str">
        <f>"00094815"</f>
        <v>00094815</v>
      </c>
    </row>
    <row r="385" spans="1:2" x14ac:dyDescent="0.25">
      <c r="A385" s="3">
        <v>380</v>
      </c>
      <c r="B385" s="3" t="str">
        <f>"00095006"</f>
        <v>00095006</v>
      </c>
    </row>
    <row r="386" spans="1:2" x14ac:dyDescent="0.25">
      <c r="A386" s="3">
        <v>381</v>
      </c>
      <c r="B386" s="3" t="str">
        <f>"00095328"</f>
        <v>00095328</v>
      </c>
    </row>
    <row r="387" spans="1:2" x14ac:dyDescent="0.25">
      <c r="A387" s="3">
        <v>382</v>
      </c>
      <c r="B387" s="3" t="str">
        <f>"00095748"</f>
        <v>00095748</v>
      </c>
    </row>
    <row r="388" spans="1:2" x14ac:dyDescent="0.25">
      <c r="A388" s="3">
        <v>383</v>
      </c>
      <c r="B388" s="3" t="str">
        <f>"00095794"</f>
        <v>00095794</v>
      </c>
    </row>
    <row r="389" spans="1:2" x14ac:dyDescent="0.25">
      <c r="A389" s="3">
        <v>384</v>
      </c>
      <c r="B389" s="3" t="str">
        <f>"00095972"</f>
        <v>00095972</v>
      </c>
    </row>
    <row r="390" spans="1:2" x14ac:dyDescent="0.25">
      <c r="A390" s="3">
        <v>385</v>
      </c>
      <c r="B390" s="3" t="str">
        <f>"00096009"</f>
        <v>00096009</v>
      </c>
    </row>
    <row r="391" spans="1:2" x14ac:dyDescent="0.25">
      <c r="A391" s="3">
        <v>386</v>
      </c>
      <c r="B391" s="3" t="str">
        <f>"00096239"</f>
        <v>00096239</v>
      </c>
    </row>
    <row r="392" spans="1:2" x14ac:dyDescent="0.25">
      <c r="A392" s="3">
        <v>387</v>
      </c>
      <c r="B392" s="3" t="str">
        <f>"00096353"</f>
        <v>00096353</v>
      </c>
    </row>
    <row r="393" spans="1:2" x14ac:dyDescent="0.25">
      <c r="A393" s="3">
        <v>388</v>
      </c>
      <c r="B393" s="3" t="str">
        <f>"00096374"</f>
        <v>00096374</v>
      </c>
    </row>
    <row r="394" spans="1:2" x14ac:dyDescent="0.25">
      <c r="A394" s="3">
        <v>389</v>
      </c>
      <c r="B394" s="3" t="str">
        <f>"00096393"</f>
        <v>00096393</v>
      </c>
    </row>
    <row r="395" spans="1:2" x14ac:dyDescent="0.25">
      <c r="A395" s="3">
        <v>390</v>
      </c>
      <c r="B395" s="3" t="str">
        <f>"00096411"</f>
        <v>00096411</v>
      </c>
    </row>
    <row r="396" spans="1:2" x14ac:dyDescent="0.25">
      <c r="A396" s="3">
        <v>391</v>
      </c>
      <c r="B396" s="3" t="str">
        <f>"00096561"</f>
        <v>00096561</v>
      </c>
    </row>
    <row r="397" spans="1:2" x14ac:dyDescent="0.25">
      <c r="A397" s="3">
        <v>392</v>
      </c>
      <c r="B397" s="3" t="str">
        <f>"00097029"</f>
        <v>00097029</v>
      </c>
    </row>
    <row r="398" spans="1:2" x14ac:dyDescent="0.25">
      <c r="A398" s="3">
        <v>393</v>
      </c>
      <c r="B398" s="3" t="str">
        <f>"00097306"</f>
        <v>00097306</v>
      </c>
    </row>
    <row r="399" spans="1:2" x14ac:dyDescent="0.25">
      <c r="A399" s="3">
        <v>394</v>
      </c>
      <c r="B399" s="3" t="str">
        <f>"00097495"</f>
        <v>00097495</v>
      </c>
    </row>
    <row r="400" spans="1:2" x14ac:dyDescent="0.25">
      <c r="A400" s="3">
        <v>395</v>
      </c>
      <c r="B400" s="3" t="str">
        <f>"00099045"</f>
        <v>00099045</v>
      </c>
    </row>
    <row r="401" spans="1:2" x14ac:dyDescent="0.25">
      <c r="A401" s="3">
        <v>396</v>
      </c>
      <c r="B401" s="3" t="str">
        <f>"00099437"</f>
        <v>00099437</v>
      </c>
    </row>
    <row r="402" spans="1:2" x14ac:dyDescent="0.25">
      <c r="A402" s="3">
        <v>397</v>
      </c>
      <c r="B402" s="3" t="str">
        <f>"00099752"</f>
        <v>00099752</v>
      </c>
    </row>
    <row r="403" spans="1:2" x14ac:dyDescent="0.25">
      <c r="A403" s="3">
        <v>398</v>
      </c>
      <c r="B403" s="3" t="str">
        <f>"00100434"</f>
        <v>00100434</v>
      </c>
    </row>
    <row r="404" spans="1:2" x14ac:dyDescent="0.25">
      <c r="A404" s="3">
        <v>399</v>
      </c>
      <c r="B404" s="3" t="str">
        <f>"00101260"</f>
        <v>00101260</v>
      </c>
    </row>
    <row r="405" spans="1:2" x14ac:dyDescent="0.25">
      <c r="A405" s="3">
        <v>400</v>
      </c>
      <c r="B405" s="3" t="str">
        <f>"00101269"</f>
        <v>00101269</v>
      </c>
    </row>
    <row r="406" spans="1:2" x14ac:dyDescent="0.25">
      <c r="A406" s="3">
        <v>401</v>
      </c>
      <c r="B406" s="3" t="str">
        <f>"00101281"</f>
        <v>00101281</v>
      </c>
    </row>
    <row r="407" spans="1:2" x14ac:dyDescent="0.25">
      <c r="A407" s="3">
        <v>402</v>
      </c>
      <c r="B407" s="3" t="str">
        <f>"00101442"</f>
        <v>00101442</v>
      </c>
    </row>
    <row r="408" spans="1:2" x14ac:dyDescent="0.25">
      <c r="A408" s="3">
        <v>403</v>
      </c>
      <c r="B408" s="3" t="str">
        <f>"00101645"</f>
        <v>00101645</v>
      </c>
    </row>
    <row r="409" spans="1:2" x14ac:dyDescent="0.25">
      <c r="A409" s="3">
        <v>404</v>
      </c>
      <c r="B409" s="3" t="str">
        <f>"00101652"</f>
        <v>00101652</v>
      </c>
    </row>
    <row r="410" spans="1:2" x14ac:dyDescent="0.25">
      <c r="A410" s="3">
        <v>405</v>
      </c>
      <c r="B410" s="3" t="str">
        <f>"00101657"</f>
        <v>00101657</v>
      </c>
    </row>
    <row r="411" spans="1:2" x14ac:dyDescent="0.25">
      <c r="A411" s="3">
        <v>406</v>
      </c>
      <c r="B411" s="3" t="str">
        <f>"00101661"</f>
        <v>00101661</v>
      </c>
    </row>
    <row r="412" spans="1:2" x14ac:dyDescent="0.25">
      <c r="A412" s="3">
        <v>407</v>
      </c>
      <c r="B412" s="3" t="str">
        <f>"00101948"</f>
        <v>00101948</v>
      </c>
    </row>
    <row r="413" spans="1:2" x14ac:dyDescent="0.25">
      <c r="A413" s="3">
        <v>408</v>
      </c>
      <c r="B413" s="3" t="str">
        <f>"00102004"</f>
        <v>00102004</v>
      </c>
    </row>
    <row r="414" spans="1:2" x14ac:dyDescent="0.25">
      <c r="A414" s="3">
        <v>409</v>
      </c>
      <c r="B414" s="3" t="str">
        <f>"00102089"</f>
        <v>00102089</v>
      </c>
    </row>
    <row r="415" spans="1:2" x14ac:dyDescent="0.25">
      <c r="A415" s="3">
        <v>410</v>
      </c>
      <c r="B415" s="3" t="str">
        <f>"00102126"</f>
        <v>00102126</v>
      </c>
    </row>
    <row r="416" spans="1:2" x14ac:dyDescent="0.25">
      <c r="A416" s="3">
        <v>411</v>
      </c>
      <c r="B416" s="3" t="str">
        <f>"00102263"</f>
        <v>00102263</v>
      </c>
    </row>
    <row r="417" spans="1:2" x14ac:dyDescent="0.25">
      <c r="A417" s="3">
        <v>412</v>
      </c>
      <c r="B417" s="3" t="str">
        <f>"00102341"</f>
        <v>00102341</v>
      </c>
    </row>
    <row r="418" spans="1:2" x14ac:dyDescent="0.25">
      <c r="A418" s="3">
        <v>413</v>
      </c>
      <c r="B418" s="3" t="str">
        <f>"00102509"</f>
        <v>00102509</v>
      </c>
    </row>
    <row r="419" spans="1:2" x14ac:dyDescent="0.25">
      <c r="A419" s="3">
        <v>414</v>
      </c>
      <c r="B419" s="3" t="str">
        <f>"00102602"</f>
        <v>00102602</v>
      </c>
    </row>
    <row r="420" spans="1:2" x14ac:dyDescent="0.25">
      <c r="A420" s="3">
        <v>415</v>
      </c>
      <c r="B420" s="3" t="str">
        <f>"00102642"</f>
        <v>00102642</v>
      </c>
    </row>
    <row r="421" spans="1:2" x14ac:dyDescent="0.25">
      <c r="A421" s="3">
        <v>416</v>
      </c>
      <c r="B421" s="3" t="str">
        <f>"00102665"</f>
        <v>00102665</v>
      </c>
    </row>
    <row r="422" spans="1:2" x14ac:dyDescent="0.25">
      <c r="A422" s="3">
        <v>417</v>
      </c>
      <c r="B422" s="3" t="str">
        <f>"00102677"</f>
        <v>00102677</v>
      </c>
    </row>
    <row r="423" spans="1:2" x14ac:dyDescent="0.25">
      <c r="A423" s="3">
        <v>418</v>
      </c>
      <c r="B423" s="3" t="str">
        <f>"00102699"</f>
        <v>00102699</v>
      </c>
    </row>
    <row r="424" spans="1:2" x14ac:dyDescent="0.25">
      <c r="A424" s="3">
        <v>419</v>
      </c>
      <c r="B424" s="3" t="str">
        <f>"00102951"</f>
        <v>00102951</v>
      </c>
    </row>
    <row r="425" spans="1:2" x14ac:dyDescent="0.25">
      <c r="A425" s="3">
        <v>420</v>
      </c>
      <c r="B425" s="3" t="str">
        <f>"00103016"</f>
        <v>00103016</v>
      </c>
    </row>
    <row r="426" spans="1:2" x14ac:dyDescent="0.25">
      <c r="A426" s="3">
        <v>421</v>
      </c>
      <c r="B426" s="3" t="str">
        <f>"00103213"</f>
        <v>00103213</v>
      </c>
    </row>
    <row r="427" spans="1:2" x14ac:dyDescent="0.25">
      <c r="A427" s="3">
        <v>422</v>
      </c>
      <c r="B427" s="3" t="str">
        <f>"00103302"</f>
        <v>00103302</v>
      </c>
    </row>
    <row r="428" spans="1:2" x14ac:dyDescent="0.25">
      <c r="A428" s="3">
        <v>423</v>
      </c>
      <c r="B428" s="3" t="str">
        <f>"00103313"</f>
        <v>00103313</v>
      </c>
    </row>
    <row r="429" spans="1:2" x14ac:dyDescent="0.25">
      <c r="A429" s="3">
        <v>424</v>
      </c>
      <c r="B429" s="3" t="str">
        <f>"00103512"</f>
        <v>00103512</v>
      </c>
    </row>
    <row r="430" spans="1:2" x14ac:dyDescent="0.25">
      <c r="A430" s="3">
        <v>425</v>
      </c>
      <c r="B430" s="3" t="str">
        <f>"00103557"</f>
        <v>00103557</v>
      </c>
    </row>
    <row r="431" spans="1:2" x14ac:dyDescent="0.25">
      <c r="A431" s="3">
        <v>426</v>
      </c>
      <c r="B431" s="3" t="str">
        <f>"00103596"</f>
        <v>00103596</v>
      </c>
    </row>
    <row r="432" spans="1:2" x14ac:dyDescent="0.25">
      <c r="A432" s="3">
        <v>427</v>
      </c>
      <c r="B432" s="3" t="str">
        <f>"00103646"</f>
        <v>00103646</v>
      </c>
    </row>
    <row r="433" spans="1:2" x14ac:dyDescent="0.25">
      <c r="A433" s="3">
        <v>428</v>
      </c>
      <c r="B433" s="3" t="str">
        <f>"00103792"</f>
        <v>00103792</v>
      </c>
    </row>
    <row r="434" spans="1:2" x14ac:dyDescent="0.25">
      <c r="A434" s="3">
        <v>429</v>
      </c>
      <c r="B434" s="3" t="str">
        <f>"00103819"</f>
        <v>00103819</v>
      </c>
    </row>
    <row r="435" spans="1:2" x14ac:dyDescent="0.25">
      <c r="A435" s="3">
        <v>430</v>
      </c>
      <c r="B435" s="3" t="str">
        <f>"00103922"</f>
        <v>00103922</v>
      </c>
    </row>
    <row r="436" spans="1:2" x14ac:dyDescent="0.25">
      <c r="A436" s="3">
        <v>431</v>
      </c>
      <c r="B436" s="3" t="str">
        <f>"00103990"</f>
        <v>00103990</v>
      </c>
    </row>
    <row r="437" spans="1:2" x14ac:dyDescent="0.25">
      <c r="A437" s="3">
        <v>432</v>
      </c>
      <c r="B437" s="3" t="str">
        <f>"00103996"</f>
        <v>00103996</v>
      </c>
    </row>
    <row r="438" spans="1:2" x14ac:dyDescent="0.25">
      <c r="A438" s="3">
        <v>433</v>
      </c>
      <c r="B438" s="3" t="str">
        <f>"00103998"</f>
        <v>00103998</v>
      </c>
    </row>
    <row r="439" spans="1:2" x14ac:dyDescent="0.25">
      <c r="A439" s="3">
        <v>434</v>
      </c>
      <c r="B439" s="3" t="str">
        <f>"00104069"</f>
        <v>00104069</v>
      </c>
    </row>
    <row r="440" spans="1:2" x14ac:dyDescent="0.25">
      <c r="A440" s="3">
        <v>435</v>
      </c>
      <c r="B440" s="3" t="str">
        <f>"00104076"</f>
        <v>00104076</v>
      </c>
    </row>
    <row r="441" spans="1:2" x14ac:dyDescent="0.25">
      <c r="A441" s="3">
        <v>436</v>
      </c>
      <c r="B441" s="3" t="str">
        <f>"00104077"</f>
        <v>00104077</v>
      </c>
    </row>
    <row r="442" spans="1:2" x14ac:dyDescent="0.25">
      <c r="A442" s="3">
        <v>437</v>
      </c>
      <c r="B442" s="3" t="str">
        <f>"00104144"</f>
        <v>00104144</v>
      </c>
    </row>
    <row r="443" spans="1:2" x14ac:dyDescent="0.25">
      <c r="A443" s="3">
        <v>438</v>
      </c>
      <c r="B443" s="3" t="str">
        <f>"00104213"</f>
        <v>00104213</v>
      </c>
    </row>
    <row r="444" spans="1:2" x14ac:dyDescent="0.25">
      <c r="A444" s="3">
        <v>439</v>
      </c>
      <c r="B444" s="3" t="str">
        <f>"00104326"</f>
        <v>00104326</v>
      </c>
    </row>
    <row r="445" spans="1:2" x14ac:dyDescent="0.25">
      <c r="A445" s="3">
        <v>440</v>
      </c>
      <c r="B445" s="3" t="str">
        <f>"00104392"</f>
        <v>00104392</v>
      </c>
    </row>
    <row r="446" spans="1:2" x14ac:dyDescent="0.25">
      <c r="A446" s="3">
        <v>441</v>
      </c>
      <c r="B446" s="3" t="str">
        <f>"00104395"</f>
        <v>00104395</v>
      </c>
    </row>
    <row r="447" spans="1:2" x14ac:dyDescent="0.25">
      <c r="A447" s="3">
        <v>442</v>
      </c>
      <c r="B447" s="3" t="str">
        <f>"00104405"</f>
        <v>00104405</v>
      </c>
    </row>
    <row r="448" spans="1:2" x14ac:dyDescent="0.25">
      <c r="A448" s="3">
        <v>443</v>
      </c>
      <c r="B448" s="3" t="str">
        <f>"00104628"</f>
        <v>00104628</v>
      </c>
    </row>
    <row r="449" spans="1:2" x14ac:dyDescent="0.25">
      <c r="A449" s="3">
        <v>444</v>
      </c>
      <c r="B449" s="3" t="str">
        <f>"00104645"</f>
        <v>00104645</v>
      </c>
    </row>
    <row r="450" spans="1:2" x14ac:dyDescent="0.25">
      <c r="A450" s="3">
        <v>445</v>
      </c>
      <c r="B450" s="3" t="str">
        <f>"00104807"</f>
        <v>00104807</v>
      </c>
    </row>
    <row r="451" spans="1:2" x14ac:dyDescent="0.25">
      <c r="A451" s="3">
        <v>446</v>
      </c>
      <c r="B451" s="3" t="str">
        <f>"00104863"</f>
        <v>00104863</v>
      </c>
    </row>
    <row r="452" spans="1:2" x14ac:dyDescent="0.25">
      <c r="A452" s="3">
        <v>447</v>
      </c>
      <c r="B452" s="3" t="str">
        <f>"00104989"</f>
        <v>00104989</v>
      </c>
    </row>
    <row r="453" spans="1:2" x14ac:dyDescent="0.25">
      <c r="A453" s="3">
        <v>448</v>
      </c>
      <c r="B453" s="3" t="str">
        <f>"00105088"</f>
        <v>00105088</v>
      </c>
    </row>
    <row r="454" spans="1:2" x14ac:dyDescent="0.25">
      <c r="A454" s="3">
        <v>449</v>
      </c>
      <c r="B454" s="3" t="str">
        <f>"00105128"</f>
        <v>00105128</v>
      </c>
    </row>
    <row r="455" spans="1:2" x14ac:dyDescent="0.25">
      <c r="A455" s="3">
        <v>450</v>
      </c>
      <c r="B455" s="3" t="str">
        <f>"00105227"</f>
        <v>00105227</v>
      </c>
    </row>
    <row r="456" spans="1:2" x14ac:dyDescent="0.25">
      <c r="A456" s="3">
        <v>451</v>
      </c>
      <c r="B456" s="3" t="str">
        <f>"00105355"</f>
        <v>00105355</v>
      </c>
    </row>
    <row r="457" spans="1:2" x14ac:dyDescent="0.25">
      <c r="A457" s="3">
        <v>452</v>
      </c>
      <c r="B457" s="3" t="str">
        <f>"00105423"</f>
        <v>00105423</v>
      </c>
    </row>
    <row r="458" spans="1:2" x14ac:dyDescent="0.25">
      <c r="A458" s="3">
        <v>453</v>
      </c>
      <c r="B458" s="3" t="str">
        <f>"00105530"</f>
        <v>00105530</v>
      </c>
    </row>
    <row r="459" spans="1:2" x14ac:dyDescent="0.25">
      <c r="A459" s="3">
        <v>454</v>
      </c>
      <c r="B459" s="3" t="str">
        <f>"00106672"</f>
        <v>00106672</v>
      </c>
    </row>
    <row r="460" spans="1:2" x14ac:dyDescent="0.25">
      <c r="A460" s="3">
        <v>455</v>
      </c>
      <c r="B460" s="3" t="str">
        <f>"00107105"</f>
        <v>00107105</v>
      </c>
    </row>
    <row r="461" spans="1:2" x14ac:dyDescent="0.25">
      <c r="A461" s="3">
        <v>456</v>
      </c>
      <c r="B461" s="3" t="str">
        <f>"00107322"</f>
        <v>00107322</v>
      </c>
    </row>
    <row r="462" spans="1:2" x14ac:dyDescent="0.25">
      <c r="A462" s="3">
        <v>457</v>
      </c>
      <c r="B462" s="3" t="str">
        <f>"00107365"</f>
        <v>00107365</v>
      </c>
    </row>
    <row r="463" spans="1:2" x14ac:dyDescent="0.25">
      <c r="A463" s="3">
        <v>458</v>
      </c>
      <c r="B463" s="3" t="str">
        <f>"00107495"</f>
        <v>00107495</v>
      </c>
    </row>
    <row r="464" spans="1:2" x14ac:dyDescent="0.25">
      <c r="A464" s="3">
        <v>459</v>
      </c>
      <c r="B464" s="3" t="str">
        <f>"00107992"</f>
        <v>00107992</v>
      </c>
    </row>
    <row r="465" spans="1:2" x14ac:dyDescent="0.25">
      <c r="A465" s="3">
        <v>460</v>
      </c>
      <c r="B465" s="3" t="str">
        <f>"00107993"</f>
        <v>00107993</v>
      </c>
    </row>
    <row r="466" spans="1:2" x14ac:dyDescent="0.25">
      <c r="A466" s="3">
        <v>461</v>
      </c>
      <c r="B466" s="3" t="str">
        <f>"00108065"</f>
        <v>00108065</v>
      </c>
    </row>
    <row r="467" spans="1:2" x14ac:dyDescent="0.25">
      <c r="A467" s="3">
        <v>462</v>
      </c>
      <c r="B467" s="3" t="str">
        <f>"00108341"</f>
        <v>00108341</v>
      </c>
    </row>
    <row r="468" spans="1:2" x14ac:dyDescent="0.25">
      <c r="A468" s="3">
        <v>463</v>
      </c>
      <c r="B468" s="3" t="str">
        <f>"00108576"</f>
        <v>00108576</v>
      </c>
    </row>
    <row r="469" spans="1:2" x14ac:dyDescent="0.25">
      <c r="A469" s="3">
        <v>464</v>
      </c>
      <c r="B469" s="3" t="str">
        <f>"00108663"</f>
        <v>00108663</v>
      </c>
    </row>
    <row r="470" spans="1:2" x14ac:dyDescent="0.25">
      <c r="A470" s="3">
        <v>465</v>
      </c>
      <c r="B470" s="3" t="str">
        <f>"00109169"</f>
        <v>00109169</v>
      </c>
    </row>
    <row r="471" spans="1:2" x14ac:dyDescent="0.25">
      <c r="A471" s="3">
        <v>466</v>
      </c>
      <c r="B471" s="3" t="str">
        <f>"00110245"</f>
        <v>00110245</v>
      </c>
    </row>
    <row r="472" spans="1:2" x14ac:dyDescent="0.25">
      <c r="A472" s="3">
        <v>467</v>
      </c>
      <c r="B472" s="3" t="str">
        <f>"00110478"</f>
        <v>00110478</v>
      </c>
    </row>
    <row r="473" spans="1:2" x14ac:dyDescent="0.25">
      <c r="A473" s="3">
        <v>468</v>
      </c>
      <c r="B473" s="3" t="str">
        <f>"00110748"</f>
        <v>00110748</v>
      </c>
    </row>
    <row r="474" spans="1:2" x14ac:dyDescent="0.25">
      <c r="A474" s="3">
        <v>469</v>
      </c>
      <c r="B474" s="3" t="str">
        <f>"00110774"</f>
        <v>00110774</v>
      </c>
    </row>
    <row r="475" spans="1:2" x14ac:dyDescent="0.25">
      <c r="A475" s="3">
        <v>470</v>
      </c>
      <c r="B475" s="3" t="str">
        <f>"00111030"</f>
        <v>00111030</v>
      </c>
    </row>
    <row r="476" spans="1:2" x14ac:dyDescent="0.25">
      <c r="A476" s="3">
        <v>471</v>
      </c>
      <c r="B476" s="3" t="str">
        <f>"00111402"</f>
        <v>00111402</v>
      </c>
    </row>
    <row r="477" spans="1:2" x14ac:dyDescent="0.25">
      <c r="A477" s="3">
        <v>472</v>
      </c>
      <c r="B477" s="3" t="str">
        <f>"00111461"</f>
        <v>00111461</v>
      </c>
    </row>
    <row r="478" spans="1:2" x14ac:dyDescent="0.25">
      <c r="A478" s="3">
        <v>473</v>
      </c>
      <c r="B478" s="3" t="str">
        <f>"00111551"</f>
        <v>00111551</v>
      </c>
    </row>
    <row r="479" spans="1:2" x14ac:dyDescent="0.25">
      <c r="A479" s="3">
        <v>474</v>
      </c>
      <c r="B479" s="3" t="str">
        <f>"00111635"</f>
        <v>00111635</v>
      </c>
    </row>
    <row r="480" spans="1:2" x14ac:dyDescent="0.25">
      <c r="A480" s="3">
        <v>475</v>
      </c>
      <c r="B480" s="3" t="str">
        <f>"00112310"</f>
        <v>00112310</v>
      </c>
    </row>
    <row r="481" spans="1:2" x14ac:dyDescent="0.25">
      <c r="A481" s="3">
        <v>476</v>
      </c>
      <c r="B481" s="3" t="str">
        <f>"00112576"</f>
        <v>00112576</v>
      </c>
    </row>
    <row r="482" spans="1:2" x14ac:dyDescent="0.25">
      <c r="A482" s="3">
        <v>477</v>
      </c>
      <c r="B482" s="3" t="str">
        <f>"00112653"</f>
        <v>00112653</v>
      </c>
    </row>
    <row r="483" spans="1:2" x14ac:dyDescent="0.25">
      <c r="A483" s="3">
        <v>478</v>
      </c>
      <c r="B483" s="3" t="str">
        <f>"00112760"</f>
        <v>00112760</v>
      </c>
    </row>
    <row r="484" spans="1:2" x14ac:dyDescent="0.25">
      <c r="A484" s="3">
        <v>479</v>
      </c>
      <c r="B484" s="3" t="str">
        <f>"00112929"</f>
        <v>00112929</v>
      </c>
    </row>
    <row r="485" spans="1:2" x14ac:dyDescent="0.25">
      <c r="A485" s="3">
        <v>480</v>
      </c>
      <c r="B485" s="3" t="str">
        <f>"00112963"</f>
        <v>00112963</v>
      </c>
    </row>
    <row r="486" spans="1:2" x14ac:dyDescent="0.25">
      <c r="A486" s="3">
        <v>481</v>
      </c>
      <c r="B486" s="3" t="str">
        <f>"00112998"</f>
        <v>00112998</v>
      </c>
    </row>
    <row r="487" spans="1:2" x14ac:dyDescent="0.25">
      <c r="A487" s="3">
        <v>482</v>
      </c>
      <c r="B487" s="3" t="str">
        <f>"00113008"</f>
        <v>00113008</v>
      </c>
    </row>
    <row r="488" spans="1:2" x14ac:dyDescent="0.25">
      <c r="A488" s="3">
        <v>483</v>
      </c>
      <c r="B488" s="3" t="str">
        <f>"00113029"</f>
        <v>00113029</v>
      </c>
    </row>
    <row r="489" spans="1:2" x14ac:dyDescent="0.25">
      <c r="A489" s="3">
        <v>484</v>
      </c>
      <c r="B489" s="3" t="str">
        <f>"00113075"</f>
        <v>00113075</v>
      </c>
    </row>
    <row r="490" spans="1:2" x14ac:dyDescent="0.25">
      <c r="A490" s="3">
        <v>485</v>
      </c>
      <c r="B490" s="3" t="str">
        <f>"00113105"</f>
        <v>00113105</v>
      </c>
    </row>
    <row r="491" spans="1:2" x14ac:dyDescent="0.25">
      <c r="A491" s="3">
        <v>486</v>
      </c>
      <c r="B491" s="3" t="str">
        <f>"00113122"</f>
        <v>00113122</v>
      </c>
    </row>
    <row r="492" spans="1:2" x14ac:dyDescent="0.25">
      <c r="A492" s="3">
        <v>487</v>
      </c>
      <c r="B492" s="3" t="str">
        <f>"00113127"</f>
        <v>00113127</v>
      </c>
    </row>
    <row r="493" spans="1:2" x14ac:dyDescent="0.25">
      <c r="A493" s="3">
        <v>488</v>
      </c>
      <c r="B493" s="3" t="str">
        <f>"00113267"</f>
        <v>00113267</v>
      </c>
    </row>
    <row r="494" spans="1:2" x14ac:dyDescent="0.25">
      <c r="A494" s="3">
        <v>489</v>
      </c>
      <c r="B494" s="3" t="str">
        <f>"00113292"</f>
        <v>00113292</v>
      </c>
    </row>
    <row r="495" spans="1:2" x14ac:dyDescent="0.25">
      <c r="A495" s="3">
        <v>490</v>
      </c>
      <c r="B495" s="3" t="str">
        <f>"00113523"</f>
        <v>00113523</v>
      </c>
    </row>
    <row r="496" spans="1:2" x14ac:dyDescent="0.25">
      <c r="A496" s="3">
        <v>491</v>
      </c>
      <c r="B496" s="3" t="str">
        <f>"00113544"</f>
        <v>00113544</v>
      </c>
    </row>
    <row r="497" spans="1:2" x14ac:dyDescent="0.25">
      <c r="A497" s="3">
        <v>492</v>
      </c>
      <c r="B497" s="3" t="str">
        <f>"00113645"</f>
        <v>00113645</v>
      </c>
    </row>
    <row r="498" spans="1:2" x14ac:dyDescent="0.25">
      <c r="A498" s="3">
        <v>493</v>
      </c>
      <c r="B498" s="3" t="str">
        <f>"00113688"</f>
        <v>00113688</v>
      </c>
    </row>
    <row r="499" spans="1:2" x14ac:dyDescent="0.25">
      <c r="A499" s="3">
        <v>494</v>
      </c>
      <c r="B499" s="3" t="str">
        <f>"00113690"</f>
        <v>00113690</v>
      </c>
    </row>
    <row r="500" spans="1:2" x14ac:dyDescent="0.25">
      <c r="A500" s="3">
        <v>495</v>
      </c>
      <c r="B500" s="3" t="str">
        <f>"00113855"</f>
        <v>00113855</v>
      </c>
    </row>
    <row r="501" spans="1:2" x14ac:dyDescent="0.25">
      <c r="A501" s="3">
        <v>496</v>
      </c>
      <c r="B501" s="3" t="str">
        <f>"00113974"</f>
        <v>00113974</v>
      </c>
    </row>
    <row r="502" spans="1:2" x14ac:dyDescent="0.25">
      <c r="A502" s="3">
        <v>497</v>
      </c>
      <c r="B502" s="3" t="str">
        <f>"00114045"</f>
        <v>00114045</v>
      </c>
    </row>
    <row r="503" spans="1:2" x14ac:dyDescent="0.25">
      <c r="A503" s="3">
        <v>498</v>
      </c>
      <c r="B503" s="3" t="str">
        <f>"00114176"</f>
        <v>00114176</v>
      </c>
    </row>
    <row r="504" spans="1:2" x14ac:dyDescent="0.25">
      <c r="A504" s="3">
        <v>499</v>
      </c>
      <c r="B504" s="3" t="str">
        <f>"00114312"</f>
        <v>00114312</v>
      </c>
    </row>
    <row r="505" spans="1:2" x14ac:dyDescent="0.25">
      <c r="A505" s="3">
        <v>500</v>
      </c>
      <c r="B505" s="3" t="str">
        <f>"00114404"</f>
        <v>00114404</v>
      </c>
    </row>
    <row r="506" spans="1:2" x14ac:dyDescent="0.25">
      <c r="A506" s="3">
        <v>501</v>
      </c>
      <c r="B506" s="3" t="str">
        <f>"00114526"</f>
        <v>00114526</v>
      </c>
    </row>
    <row r="507" spans="1:2" x14ac:dyDescent="0.25">
      <c r="A507" s="3">
        <v>502</v>
      </c>
      <c r="B507" s="3" t="str">
        <f>"00114712"</f>
        <v>00114712</v>
      </c>
    </row>
    <row r="508" spans="1:2" x14ac:dyDescent="0.25">
      <c r="A508" s="3">
        <v>503</v>
      </c>
      <c r="B508" s="3" t="str">
        <f>"00114733"</f>
        <v>00114733</v>
      </c>
    </row>
    <row r="509" spans="1:2" x14ac:dyDescent="0.25">
      <c r="A509" s="3">
        <v>504</v>
      </c>
      <c r="B509" s="3" t="str">
        <f>"00114786"</f>
        <v>00114786</v>
      </c>
    </row>
    <row r="510" spans="1:2" x14ac:dyDescent="0.25">
      <c r="A510" s="3">
        <v>505</v>
      </c>
      <c r="B510" s="3" t="str">
        <f>"00114932"</f>
        <v>00114932</v>
      </c>
    </row>
    <row r="511" spans="1:2" x14ac:dyDescent="0.25">
      <c r="A511" s="3">
        <v>506</v>
      </c>
      <c r="B511" s="3" t="str">
        <f>"00114937"</f>
        <v>00114937</v>
      </c>
    </row>
    <row r="512" spans="1:2" x14ac:dyDescent="0.25">
      <c r="A512" s="3">
        <v>507</v>
      </c>
      <c r="B512" s="3" t="str">
        <f>"00114954"</f>
        <v>00114954</v>
      </c>
    </row>
    <row r="513" spans="1:2" x14ac:dyDescent="0.25">
      <c r="A513" s="3">
        <v>508</v>
      </c>
      <c r="B513" s="3" t="str">
        <f>"00115181"</f>
        <v>00115181</v>
      </c>
    </row>
    <row r="514" spans="1:2" x14ac:dyDescent="0.25">
      <c r="A514" s="3">
        <v>509</v>
      </c>
      <c r="B514" s="3" t="str">
        <f>"00115204"</f>
        <v>00115204</v>
      </c>
    </row>
    <row r="515" spans="1:2" x14ac:dyDescent="0.25">
      <c r="A515" s="3">
        <v>510</v>
      </c>
      <c r="B515" s="3" t="str">
        <f>"00115286"</f>
        <v>00115286</v>
      </c>
    </row>
    <row r="516" spans="1:2" x14ac:dyDescent="0.25">
      <c r="A516" s="3">
        <v>511</v>
      </c>
      <c r="B516" s="3" t="str">
        <f>"00115331"</f>
        <v>00115331</v>
      </c>
    </row>
    <row r="517" spans="1:2" x14ac:dyDescent="0.25">
      <c r="A517" s="3">
        <v>512</v>
      </c>
      <c r="B517" s="3" t="str">
        <f>"00115374"</f>
        <v>00115374</v>
      </c>
    </row>
    <row r="518" spans="1:2" x14ac:dyDescent="0.25">
      <c r="A518" s="3">
        <v>513</v>
      </c>
      <c r="B518" s="3" t="str">
        <f>"00115422"</f>
        <v>00115422</v>
      </c>
    </row>
    <row r="519" spans="1:2" x14ac:dyDescent="0.25">
      <c r="A519" s="3">
        <v>514</v>
      </c>
      <c r="B519" s="3" t="str">
        <f>"00115548"</f>
        <v>00115548</v>
      </c>
    </row>
    <row r="520" spans="1:2" x14ac:dyDescent="0.25">
      <c r="A520" s="3">
        <v>515</v>
      </c>
      <c r="B520" s="3" t="str">
        <f>"00115588"</f>
        <v>00115588</v>
      </c>
    </row>
    <row r="521" spans="1:2" x14ac:dyDescent="0.25">
      <c r="A521" s="3">
        <v>516</v>
      </c>
      <c r="B521" s="3" t="str">
        <f>"00115676"</f>
        <v>00115676</v>
      </c>
    </row>
    <row r="522" spans="1:2" x14ac:dyDescent="0.25">
      <c r="A522" s="3">
        <v>517</v>
      </c>
      <c r="B522" s="3" t="str">
        <f>"00115687"</f>
        <v>00115687</v>
      </c>
    </row>
    <row r="523" spans="1:2" x14ac:dyDescent="0.25">
      <c r="A523" s="3">
        <v>518</v>
      </c>
      <c r="B523" s="3" t="str">
        <f>"00115745"</f>
        <v>00115745</v>
      </c>
    </row>
    <row r="524" spans="1:2" x14ac:dyDescent="0.25">
      <c r="A524" s="3">
        <v>519</v>
      </c>
      <c r="B524" s="3" t="str">
        <f>"00115764"</f>
        <v>00115764</v>
      </c>
    </row>
    <row r="525" spans="1:2" x14ac:dyDescent="0.25">
      <c r="A525" s="3">
        <v>520</v>
      </c>
      <c r="B525" s="3" t="str">
        <f>"00115853"</f>
        <v>00115853</v>
      </c>
    </row>
    <row r="526" spans="1:2" x14ac:dyDescent="0.25">
      <c r="A526" s="3">
        <v>521</v>
      </c>
      <c r="B526" s="3" t="str">
        <f>"00116007"</f>
        <v>00116007</v>
      </c>
    </row>
    <row r="527" spans="1:2" x14ac:dyDescent="0.25">
      <c r="A527" s="3">
        <v>522</v>
      </c>
      <c r="B527" s="3" t="str">
        <f>"00116088"</f>
        <v>00116088</v>
      </c>
    </row>
    <row r="528" spans="1:2" x14ac:dyDescent="0.25">
      <c r="A528" s="3">
        <v>523</v>
      </c>
      <c r="B528" s="3" t="str">
        <f>"00116097"</f>
        <v>00116097</v>
      </c>
    </row>
    <row r="529" spans="1:2" x14ac:dyDescent="0.25">
      <c r="A529" s="3">
        <v>524</v>
      </c>
      <c r="B529" s="3" t="str">
        <f>"00116114"</f>
        <v>00116114</v>
      </c>
    </row>
    <row r="530" spans="1:2" x14ac:dyDescent="0.25">
      <c r="A530" s="3">
        <v>525</v>
      </c>
      <c r="B530" s="3" t="str">
        <f>"00116116"</f>
        <v>00116116</v>
      </c>
    </row>
    <row r="531" spans="1:2" x14ac:dyDescent="0.25">
      <c r="A531" s="3">
        <v>526</v>
      </c>
      <c r="B531" s="3" t="str">
        <f>"00116156"</f>
        <v>00116156</v>
      </c>
    </row>
    <row r="532" spans="1:2" x14ac:dyDescent="0.25">
      <c r="A532" s="3">
        <v>527</v>
      </c>
      <c r="B532" s="3" t="str">
        <f>"00116167"</f>
        <v>00116167</v>
      </c>
    </row>
    <row r="533" spans="1:2" x14ac:dyDescent="0.25">
      <c r="A533" s="3">
        <v>528</v>
      </c>
      <c r="B533" s="3" t="str">
        <f>"00116398"</f>
        <v>00116398</v>
      </c>
    </row>
    <row r="534" spans="1:2" x14ac:dyDescent="0.25">
      <c r="A534" s="3">
        <v>529</v>
      </c>
      <c r="B534" s="3" t="str">
        <f>"00116418"</f>
        <v>00116418</v>
      </c>
    </row>
    <row r="535" spans="1:2" x14ac:dyDescent="0.25">
      <c r="A535" s="3">
        <v>530</v>
      </c>
      <c r="B535" s="3" t="str">
        <f>"00116521"</f>
        <v>00116521</v>
      </c>
    </row>
    <row r="536" spans="1:2" x14ac:dyDescent="0.25">
      <c r="A536" s="3">
        <v>531</v>
      </c>
      <c r="B536" s="3" t="str">
        <f>"00116687"</f>
        <v>00116687</v>
      </c>
    </row>
    <row r="537" spans="1:2" x14ac:dyDescent="0.25">
      <c r="A537" s="3">
        <v>532</v>
      </c>
      <c r="B537" s="3" t="str">
        <f>"00116734"</f>
        <v>00116734</v>
      </c>
    </row>
    <row r="538" spans="1:2" x14ac:dyDescent="0.25">
      <c r="A538" s="3">
        <v>533</v>
      </c>
      <c r="B538" s="3" t="str">
        <f>"00116840"</f>
        <v>00116840</v>
      </c>
    </row>
    <row r="539" spans="1:2" x14ac:dyDescent="0.25">
      <c r="A539" s="3">
        <v>534</v>
      </c>
      <c r="B539" s="3" t="str">
        <f>"00116906"</f>
        <v>00116906</v>
      </c>
    </row>
    <row r="540" spans="1:2" x14ac:dyDescent="0.25">
      <c r="A540" s="3">
        <v>535</v>
      </c>
      <c r="B540" s="3" t="str">
        <f>"00116909"</f>
        <v>00116909</v>
      </c>
    </row>
    <row r="541" spans="1:2" x14ac:dyDescent="0.25">
      <c r="A541" s="3">
        <v>536</v>
      </c>
      <c r="B541" s="3" t="str">
        <f>"00117041"</f>
        <v>00117041</v>
      </c>
    </row>
    <row r="542" spans="1:2" x14ac:dyDescent="0.25">
      <c r="A542" s="3">
        <v>537</v>
      </c>
      <c r="B542" s="3" t="str">
        <f>"00117082"</f>
        <v>00117082</v>
      </c>
    </row>
    <row r="543" spans="1:2" x14ac:dyDescent="0.25">
      <c r="A543" s="3">
        <v>538</v>
      </c>
      <c r="B543" s="3" t="str">
        <f>"00117137"</f>
        <v>00117137</v>
      </c>
    </row>
    <row r="544" spans="1:2" x14ac:dyDescent="0.25">
      <c r="A544" s="3">
        <v>539</v>
      </c>
      <c r="B544" s="3" t="str">
        <f>"00117217"</f>
        <v>00117217</v>
      </c>
    </row>
    <row r="545" spans="1:2" x14ac:dyDescent="0.25">
      <c r="A545" s="3">
        <v>540</v>
      </c>
      <c r="B545" s="3" t="str">
        <f>"00117249"</f>
        <v>00117249</v>
      </c>
    </row>
    <row r="546" spans="1:2" x14ac:dyDescent="0.25">
      <c r="A546" s="3">
        <v>541</v>
      </c>
      <c r="B546" s="3" t="str">
        <f>"00117352"</f>
        <v>00117352</v>
      </c>
    </row>
    <row r="547" spans="1:2" x14ac:dyDescent="0.25">
      <c r="A547" s="3">
        <v>542</v>
      </c>
      <c r="B547" s="3" t="str">
        <f>"00117402"</f>
        <v>00117402</v>
      </c>
    </row>
    <row r="548" spans="1:2" x14ac:dyDescent="0.25">
      <c r="A548" s="3">
        <v>543</v>
      </c>
      <c r="B548" s="3" t="str">
        <f>"00117460"</f>
        <v>00117460</v>
      </c>
    </row>
    <row r="549" spans="1:2" x14ac:dyDescent="0.25">
      <c r="A549" s="3">
        <v>544</v>
      </c>
      <c r="B549" s="3" t="str">
        <f>"00117523"</f>
        <v>00117523</v>
      </c>
    </row>
    <row r="550" spans="1:2" x14ac:dyDescent="0.25">
      <c r="A550" s="3">
        <v>545</v>
      </c>
      <c r="B550" s="3" t="str">
        <f>"00117761"</f>
        <v>00117761</v>
      </c>
    </row>
    <row r="551" spans="1:2" x14ac:dyDescent="0.25">
      <c r="A551" s="3">
        <v>546</v>
      </c>
      <c r="B551" s="3" t="str">
        <f>"00118036"</f>
        <v>00118036</v>
      </c>
    </row>
    <row r="552" spans="1:2" x14ac:dyDescent="0.25">
      <c r="A552" s="3">
        <v>547</v>
      </c>
      <c r="B552" s="3" t="str">
        <f>"00118062"</f>
        <v>00118062</v>
      </c>
    </row>
    <row r="553" spans="1:2" x14ac:dyDescent="0.25">
      <c r="A553" s="3">
        <v>548</v>
      </c>
      <c r="B553" s="3" t="str">
        <f>"00118236"</f>
        <v>00118236</v>
      </c>
    </row>
    <row r="554" spans="1:2" x14ac:dyDescent="0.25">
      <c r="A554" s="3">
        <v>549</v>
      </c>
      <c r="B554" s="3" t="str">
        <f>"00118471"</f>
        <v>00118471</v>
      </c>
    </row>
    <row r="555" spans="1:2" x14ac:dyDescent="0.25">
      <c r="A555" s="3">
        <v>550</v>
      </c>
      <c r="B555" s="3" t="str">
        <f>"00118496"</f>
        <v>00118496</v>
      </c>
    </row>
    <row r="556" spans="1:2" x14ac:dyDescent="0.25">
      <c r="A556" s="3">
        <v>551</v>
      </c>
      <c r="B556" s="3" t="str">
        <f>"00118536"</f>
        <v>00118536</v>
      </c>
    </row>
    <row r="557" spans="1:2" x14ac:dyDescent="0.25">
      <c r="A557" s="3">
        <v>552</v>
      </c>
      <c r="B557" s="3" t="str">
        <f>"00118743"</f>
        <v>00118743</v>
      </c>
    </row>
    <row r="558" spans="1:2" x14ac:dyDescent="0.25">
      <c r="A558" s="3">
        <v>553</v>
      </c>
      <c r="B558" s="3" t="str">
        <f>"00119046"</f>
        <v>00119046</v>
      </c>
    </row>
    <row r="559" spans="1:2" x14ac:dyDescent="0.25">
      <c r="A559" s="3">
        <v>554</v>
      </c>
      <c r="B559" s="3" t="str">
        <f>"00119061"</f>
        <v>00119061</v>
      </c>
    </row>
    <row r="560" spans="1:2" x14ac:dyDescent="0.25">
      <c r="A560" s="3">
        <v>555</v>
      </c>
      <c r="B560" s="3" t="str">
        <f>"00119075"</f>
        <v>00119075</v>
      </c>
    </row>
    <row r="561" spans="1:2" x14ac:dyDescent="0.25">
      <c r="A561" s="3">
        <v>556</v>
      </c>
      <c r="B561" s="3" t="str">
        <f>"00119079"</f>
        <v>00119079</v>
      </c>
    </row>
    <row r="562" spans="1:2" x14ac:dyDescent="0.25">
      <c r="A562" s="3">
        <v>557</v>
      </c>
      <c r="B562" s="3" t="str">
        <f>"00119094"</f>
        <v>00119094</v>
      </c>
    </row>
    <row r="563" spans="1:2" x14ac:dyDescent="0.25">
      <c r="A563" s="3">
        <v>558</v>
      </c>
      <c r="B563" s="3" t="str">
        <f>"00119168"</f>
        <v>00119168</v>
      </c>
    </row>
    <row r="564" spans="1:2" x14ac:dyDescent="0.25">
      <c r="A564" s="3">
        <v>559</v>
      </c>
      <c r="B564" s="3" t="str">
        <f>"00119284"</f>
        <v>00119284</v>
      </c>
    </row>
    <row r="565" spans="1:2" x14ac:dyDescent="0.25">
      <c r="A565" s="3">
        <v>560</v>
      </c>
      <c r="B565" s="3" t="str">
        <f>"00119417"</f>
        <v>00119417</v>
      </c>
    </row>
    <row r="566" spans="1:2" x14ac:dyDescent="0.25">
      <c r="A566" s="3">
        <v>561</v>
      </c>
      <c r="B566" s="3" t="str">
        <f>"00119471"</f>
        <v>00119471</v>
      </c>
    </row>
    <row r="567" spans="1:2" x14ac:dyDescent="0.25">
      <c r="A567" s="3">
        <v>562</v>
      </c>
      <c r="B567" s="3" t="str">
        <f>"00119485"</f>
        <v>00119485</v>
      </c>
    </row>
    <row r="568" spans="1:2" x14ac:dyDescent="0.25">
      <c r="A568" s="3">
        <v>563</v>
      </c>
      <c r="B568" s="3" t="str">
        <f>"00119495"</f>
        <v>00119495</v>
      </c>
    </row>
    <row r="569" spans="1:2" x14ac:dyDescent="0.25">
      <c r="A569" s="3">
        <v>564</v>
      </c>
      <c r="B569" s="3" t="str">
        <f>"00119596"</f>
        <v>00119596</v>
      </c>
    </row>
    <row r="570" spans="1:2" x14ac:dyDescent="0.25">
      <c r="A570" s="3">
        <v>565</v>
      </c>
      <c r="B570" s="3" t="str">
        <f>"00119619"</f>
        <v>00119619</v>
      </c>
    </row>
    <row r="571" spans="1:2" x14ac:dyDescent="0.25">
      <c r="A571" s="3">
        <v>566</v>
      </c>
      <c r="B571" s="3" t="str">
        <f>"00119721"</f>
        <v>00119721</v>
      </c>
    </row>
    <row r="572" spans="1:2" x14ac:dyDescent="0.25">
      <c r="A572" s="3">
        <v>567</v>
      </c>
      <c r="B572" s="3" t="str">
        <f>"00119742"</f>
        <v>00119742</v>
      </c>
    </row>
    <row r="573" spans="1:2" x14ac:dyDescent="0.25">
      <c r="A573" s="3">
        <v>568</v>
      </c>
      <c r="B573" s="3" t="str">
        <f>"00119875"</f>
        <v>00119875</v>
      </c>
    </row>
    <row r="574" spans="1:2" x14ac:dyDescent="0.25">
      <c r="A574" s="3">
        <v>569</v>
      </c>
      <c r="B574" s="3" t="str">
        <f>"00119904"</f>
        <v>00119904</v>
      </c>
    </row>
    <row r="575" spans="1:2" x14ac:dyDescent="0.25">
      <c r="A575" s="3">
        <v>570</v>
      </c>
      <c r="B575" s="3" t="str">
        <f>"00119967"</f>
        <v>00119967</v>
      </c>
    </row>
    <row r="576" spans="1:2" x14ac:dyDescent="0.25">
      <c r="A576" s="3">
        <v>571</v>
      </c>
      <c r="B576" s="3" t="str">
        <f>"00119980"</f>
        <v>00119980</v>
      </c>
    </row>
    <row r="577" spans="1:2" x14ac:dyDescent="0.25">
      <c r="A577" s="3">
        <v>572</v>
      </c>
      <c r="B577" s="3" t="str">
        <f>"00120087"</f>
        <v>00120087</v>
      </c>
    </row>
    <row r="578" spans="1:2" x14ac:dyDescent="0.25">
      <c r="A578" s="3">
        <v>573</v>
      </c>
      <c r="B578" s="3" t="str">
        <f>"00120209"</f>
        <v>00120209</v>
      </c>
    </row>
    <row r="579" spans="1:2" x14ac:dyDescent="0.25">
      <c r="A579" s="3">
        <v>574</v>
      </c>
      <c r="B579" s="3" t="str">
        <f>"00120370"</f>
        <v>00120370</v>
      </c>
    </row>
    <row r="580" spans="1:2" x14ac:dyDescent="0.25">
      <c r="A580" s="3">
        <v>575</v>
      </c>
      <c r="B580" s="3" t="str">
        <f>"00120411"</f>
        <v>00120411</v>
      </c>
    </row>
    <row r="581" spans="1:2" x14ac:dyDescent="0.25">
      <c r="A581" s="3">
        <v>576</v>
      </c>
      <c r="B581" s="3" t="str">
        <f>"00120457"</f>
        <v>00120457</v>
      </c>
    </row>
    <row r="582" spans="1:2" x14ac:dyDescent="0.25">
      <c r="A582" s="3">
        <v>577</v>
      </c>
      <c r="B582" s="3" t="str">
        <f>"00120505"</f>
        <v>00120505</v>
      </c>
    </row>
    <row r="583" spans="1:2" x14ac:dyDescent="0.25">
      <c r="A583" s="3">
        <v>578</v>
      </c>
      <c r="B583" s="3" t="str">
        <f>"00120511"</f>
        <v>00120511</v>
      </c>
    </row>
    <row r="584" spans="1:2" x14ac:dyDescent="0.25">
      <c r="A584" s="3">
        <v>579</v>
      </c>
      <c r="B584" s="3" t="str">
        <f>"00120621"</f>
        <v>00120621</v>
      </c>
    </row>
    <row r="585" spans="1:2" x14ac:dyDescent="0.25">
      <c r="A585" s="3">
        <v>580</v>
      </c>
      <c r="B585" s="3" t="str">
        <f>"00120827"</f>
        <v>00120827</v>
      </c>
    </row>
    <row r="586" spans="1:2" x14ac:dyDescent="0.25">
      <c r="A586" s="3">
        <v>581</v>
      </c>
      <c r="B586" s="3" t="str">
        <f>"00120884"</f>
        <v>00120884</v>
      </c>
    </row>
    <row r="587" spans="1:2" x14ac:dyDescent="0.25">
      <c r="A587" s="3">
        <v>582</v>
      </c>
      <c r="B587" s="3" t="str">
        <f>"00120911"</f>
        <v>00120911</v>
      </c>
    </row>
    <row r="588" spans="1:2" x14ac:dyDescent="0.25">
      <c r="A588" s="3">
        <v>583</v>
      </c>
      <c r="B588" s="3" t="str">
        <f>"00121030"</f>
        <v>00121030</v>
      </c>
    </row>
    <row r="589" spans="1:2" x14ac:dyDescent="0.25">
      <c r="A589" s="3">
        <v>584</v>
      </c>
      <c r="B589" s="3" t="str">
        <f>"00121041"</f>
        <v>00121041</v>
      </c>
    </row>
    <row r="590" spans="1:2" x14ac:dyDescent="0.25">
      <c r="A590" s="3">
        <v>585</v>
      </c>
      <c r="B590" s="3" t="str">
        <f>"00121050"</f>
        <v>00121050</v>
      </c>
    </row>
    <row r="591" spans="1:2" x14ac:dyDescent="0.25">
      <c r="A591" s="3">
        <v>586</v>
      </c>
      <c r="B591" s="3" t="str">
        <f>"00121080"</f>
        <v>00121080</v>
      </c>
    </row>
    <row r="592" spans="1:2" x14ac:dyDescent="0.25">
      <c r="A592" s="3">
        <v>587</v>
      </c>
      <c r="B592" s="3" t="str">
        <f>"00121149"</f>
        <v>00121149</v>
      </c>
    </row>
    <row r="593" spans="1:2" x14ac:dyDescent="0.25">
      <c r="A593" s="3">
        <v>588</v>
      </c>
      <c r="B593" s="3" t="str">
        <f>"00121151"</f>
        <v>00121151</v>
      </c>
    </row>
    <row r="594" spans="1:2" x14ac:dyDescent="0.25">
      <c r="A594" s="3">
        <v>589</v>
      </c>
      <c r="B594" s="3" t="str">
        <f>"00121155"</f>
        <v>00121155</v>
      </c>
    </row>
    <row r="595" spans="1:2" x14ac:dyDescent="0.25">
      <c r="A595" s="3">
        <v>590</v>
      </c>
      <c r="B595" s="3" t="str">
        <f>"00121212"</f>
        <v>00121212</v>
      </c>
    </row>
    <row r="596" spans="1:2" x14ac:dyDescent="0.25">
      <c r="A596" s="3">
        <v>591</v>
      </c>
      <c r="B596" s="3" t="str">
        <f>"00121241"</f>
        <v>00121241</v>
      </c>
    </row>
    <row r="597" spans="1:2" x14ac:dyDescent="0.25">
      <c r="A597" s="3">
        <v>592</v>
      </c>
      <c r="B597" s="3" t="str">
        <f>"00121478"</f>
        <v>00121478</v>
      </c>
    </row>
    <row r="598" spans="1:2" x14ac:dyDescent="0.25">
      <c r="A598" s="3">
        <v>593</v>
      </c>
      <c r="B598" s="3" t="str">
        <f>"00121492"</f>
        <v>00121492</v>
      </c>
    </row>
    <row r="599" spans="1:2" x14ac:dyDescent="0.25">
      <c r="A599" s="3">
        <v>594</v>
      </c>
      <c r="B599" s="3" t="str">
        <f>"00121588"</f>
        <v>00121588</v>
      </c>
    </row>
    <row r="600" spans="1:2" x14ac:dyDescent="0.25">
      <c r="A600" s="3">
        <v>595</v>
      </c>
      <c r="B600" s="3" t="str">
        <f>"00121599"</f>
        <v>00121599</v>
      </c>
    </row>
    <row r="601" spans="1:2" x14ac:dyDescent="0.25">
      <c r="A601" s="3">
        <v>596</v>
      </c>
      <c r="B601" s="3" t="str">
        <f>"00121685"</f>
        <v>00121685</v>
      </c>
    </row>
    <row r="602" spans="1:2" x14ac:dyDescent="0.25">
      <c r="A602" s="3">
        <v>597</v>
      </c>
      <c r="B602" s="3" t="str">
        <f>"00121736"</f>
        <v>00121736</v>
      </c>
    </row>
    <row r="603" spans="1:2" x14ac:dyDescent="0.25">
      <c r="A603" s="3">
        <v>598</v>
      </c>
      <c r="B603" s="3" t="str">
        <f>"00121754"</f>
        <v>00121754</v>
      </c>
    </row>
    <row r="604" spans="1:2" x14ac:dyDescent="0.25">
      <c r="A604" s="3">
        <v>599</v>
      </c>
      <c r="B604" s="3" t="str">
        <f>"00121890"</f>
        <v>00121890</v>
      </c>
    </row>
    <row r="605" spans="1:2" x14ac:dyDescent="0.25">
      <c r="A605" s="3">
        <v>600</v>
      </c>
      <c r="B605" s="3" t="str">
        <f>"00121913"</f>
        <v>00121913</v>
      </c>
    </row>
    <row r="606" spans="1:2" x14ac:dyDescent="0.25">
      <c r="A606" s="3">
        <v>601</v>
      </c>
      <c r="B606" s="3" t="str">
        <f>"00122143"</f>
        <v>00122143</v>
      </c>
    </row>
    <row r="607" spans="1:2" x14ac:dyDescent="0.25">
      <c r="A607" s="3">
        <v>602</v>
      </c>
      <c r="B607" s="3" t="str">
        <f>"00122387"</f>
        <v>00122387</v>
      </c>
    </row>
    <row r="608" spans="1:2" x14ac:dyDescent="0.25">
      <c r="A608" s="3">
        <v>603</v>
      </c>
      <c r="B608" s="3" t="str">
        <f>"00122475"</f>
        <v>00122475</v>
      </c>
    </row>
    <row r="609" spans="1:2" x14ac:dyDescent="0.25">
      <c r="A609" s="3">
        <v>604</v>
      </c>
      <c r="B609" s="3" t="str">
        <f>"00122476"</f>
        <v>00122476</v>
      </c>
    </row>
    <row r="610" spans="1:2" x14ac:dyDescent="0.25">
      <c r="A610" s="3">
        <v>605</v>
      </c>
      <c r="B610" s="3" t="str">
        <f>"00122596"</f>
        <v>00122596</v>
      </c>
    </row>
    <row r="611" spans="1:2" x14ac:dyDescent="0.25">
      <c r="A611" s="3">
        <v>606</v>
      </c>
      <c r="B611" s="3" t="str">
        <f>"00122826"</f>
        <v>00122826</v>
      </c>
    </row>
    <row r="612" spans="1:2" x14ac:dyDescent="0.25">
      <c r="A612" s="3">
        <v>607</v>
      </c>
      <c r="B612" s="3" t="str">
        <f>"00122837"</f>
        <v>00122837</v>
      </c>
    </row>
    <row r="613" spans="1:2" x14ac:dyDescent="0.25">
      <c r="A613" s="3">
        <v>608</v>
      </c>
      <c r="B613" s="3" t="str">
        <f>"00122940"</f>
        <v>00122940</v>
      </c>
    </row>
    <row r="614" spans="1:2" x14ac:dyDescent="0.25">
      <c r="A614" s="3">
        <v>609</v>
      </c>
      <c r="B614" s="3" t="str">
        <f>"00123032"</f>
        <v>00123032</v>
      </c>
    </row>
    <row r="615" spans="1:2" x14ac:dyDescent="0.25">
      <c r="A615" s="3">
        <v>610</v>
      </c>
      <c r="B615" s="3" t="str">
        <f>"00123262"</f>
        <v>00123262</v>
      </c>
    </row>
    <row r="616" spans="1:2" x14ac:dyDescent="0.25">
      <c r="A616" s="3">
        <v>611</v>
      </c>
      <c r="B616" s="3" t="str">
        <f>"00123352"</f>
        <v>00123352</v>
      </c>
    </row>
    <row r="617" spans="1:2" x14ac:dyDescent="0.25">
      <c r="A617" s="3">
        <v>612</v>
      </c>
      <c r="B617" s="3" t="str">
        <f>"00123369"</f>
        <v>00123369</v>
      </c>
    </row>
    <row r="618" spans="1:2" x14ac:dyDescent="0.25">
      <c r="A618" s="3">
        <v>613</v>
      </c>
      <c r="B618" s="3" t="str">
        <f>"00123384"</f>
        <v>00123384</v>
      </c>
    </row>
    <row r="619" spans="1:2" x14ac:dyDescent="0.25">
      <c r="A619" s="3">
        <v>614</v>
      </c>
      <c r="B619" s="3" t="str">
        <f>"00123389"</f>
        <v>00123389</v>
      </c>
    </row>
    <row r="620" spans="1:2" x14ac:dyDescent="0.25">
      <c r="A620" s="3">
        <v>615</v>
      </c>
      <c r="B620" s="3" t="str">
        <f>"00123429"</f>
        <v>00123429</v>
      </c>
    </row>
    <row r="621" spans="1:2" x14ac:dyDescent="0.25">
      <c r="A621" s="3">
        <v>616</v>
      </c>
      <c r="B621" s="3" t="str">
        <f>"00123446"</f>
        <v>00123446</v>
      </c>
    </row>
    <row r="622" spans="1:2" x14ac:dyDescent="0.25">
      <c r="A622" s="3">
        <v>617</v>
      </c>
      <c r="B622" s="3" t="str">
        <f>"00123464"</f>
        <v>00123464</v>
      </c>
    </row>
    <row r="623" spans="1:2" x14ac:dyDescent="0.25">
      <c r="A623" s="3">
        <v>618</v>
      </c>
      <c r="B623" s="3" t="str">
        <f>"00123468"</f>
        <v>00123468</v>
      </c>
    </row>
    <row r="624" spans="1:2" x14ac:dyDescent="0.25">
      <c r="A624" s="3">
        <v>619</v>
      </c>
      <c r="B624" s="3" t="str">
        <f>"00123634"</f>
        <v>00123634</v>
      </c>
    </row>
    <row r="625" spans="1:2" x14ac:dyDescent="0.25">
      <c r="A625" s="3">
        <v>620</v>
      </c>
      <c r="B625" s="3" t="str">
        <f>"00123670"</f>
        <v>00123670</v>
      </c>
    </row>
    <row r="626" spans="1:2" x14ac:dyDescent="0.25">
      <c r="A626" s="3">
        <v>621</v>
      </c>
      <c r="B626" s="3" t="str">
        <f>"00123677"</f>
        <v>00123677</v>
      </c>
    </row>
    <row r="627" spans="1:2" x14ac:dyDescent="0.25">
      <c r="A627" s="3">
        <v>622</v>
      </c>
      <c r="B627" s="3" t="str">
        <f>"00123744"</f>
        <v>00123744</v>
      </c>
    </row>
    <row r="628" spans="1:2" x14ac:dyDescent="0.25">
      <c r="A628" s="3">
        <v>623</v>
      </c>
      <c r="B628" s="3" t="str">
        <f>"00123818"</f>
        <v>00123818</v>
      </c>
    </row>
    <row r="629" spans="1:2" x14ac:dyDescent="0.25">
      <c r="A629" s="3">
        <v>624</v>
      </c>
      <c r="B629" s="3" t="str">
        <f>"00123831"</f>
        <v>00123831</v>
      </c>
    </row>
    <row r="630" spans="1:2" x14ac:dyDescent="0.25">
      <c r="A630" s="3">
        <v>625</v>
      </c>
      <c r="B630" s="3" t="str">
        <f>"00123909"</f>
        <v>00123909</v>
      </c>
    </row>
    <row r="631" spans="1:2" x14ac:dyDescent="0.25">
      <c r="A631" s="3">
        <v>626</v>
      </c>
      <c r="B631" s="3" t="str">
        <f>"00123948"</f>
        <v>00123948</v>
      </c>
    </row>
    <row r="632" spans="1:2" x14ac:dyDescent="0.25">
      <c r="A632" s="3">
        <v>627</v>
      </c>
      <c r="B632" s="3" t="str">
        <f>"00123956"</f>
        <v>00123956</v>
      </c>
    </row>
    <row r="633" spans="1:2" x14ac:dyDescent="0.25">
      <c r="A633" s="3">
        <v>628</v>
      </c>
      <c r="B633" s="3" t="str">
        <f>"00124025"</f>
        <v>00124025</v>
      </c>
    </row>
    <row r="634" spans="1:2" x14ac:dyDescent="0.25">
      <c r="A634" s="3">
        <v>629</v>
      </c>
      <c r="B634" s="3" t="str">
        <f>"00124077"</f>
        <v>00124077</v>
      </c>
    </row>
    <row r="635" spans="1:2" x14ac:dyDescent="0.25">
      <c r="A635" s="3">
        <v>630</v>
      </c>
      <c r="B635" s="3" t="str">
        <f>"00124134"</f>
        <v>00124134</v>
      </c>
    </row>
    <row r="636" spans="1:2" x14ac:dyDescent="0.25">
      <c r="A636" s="3">
        <v>631</v>
      </c>
      <c r="B636" s="3" t="str">
        <f>"00124154"</f>
        <v>00124154</v>
      </c>
    </row>
    <row r="637" spans="1:2" x14ac:dyDescent="0.25">
      <c r="A637" s="3">
        <v>632</v>
      </c>
      <c r="B637" s="3" t="str">
        <f>"00124216"</f>
        <v>00124216</v>
      </c>
    </row>
    <row r="638" spans="1:2" x14ac:dyDescent="0.25">
      <c r="A638" s="3">
        <v>633</v>
      </c>
      <c r="B638" s="3" t="str">
        <f>"00124263"</f>
        <v>00124263</v>
      </c>
    </row>
    <row r="639" spans="1:2" x14ac:dyDescent="0.25">
      <c r="A639" s="3">
        <v>634</v>
      </c>
      <c r="B639" s="3" t="str">
        <f>"00124335"</f>
        <v>00124335</v>
      </c>
    </row>
    <row r="640" spans="1:2" x14ac:dyDescent="0.25">
      <c r="A640" s="3">
        <v>635</v>
      </c>
      <c r="B640" s="3" t="str">
        <f>"00124379"</f>
        <v>00124379</v>
      </c>
    </row>
    <row r="641" spans="1:2" x14ac:dyDescent="0.25">
      <c r="A641" s="3">
        <v>636</v>
      </c>
      <c r="B641" s="3" t="str">
        <f>"00124650"</f>
        <v>00124650</v>
      </c>
    </row>
    <row r="642" spans="1:2" x14ac:dyDescent="0.25">
      <c r="A642" s="3">
        <v>637</v>
      </c>
      <c r="B642" s="3" t="str">
        <f>"00124703"</f>
        <v>00124703</v>
      </c>
    </row>
    <row r="643" spans="1:2" x14ac:dyDescent="0.25">
      <c r="A643" s="3">
        <v>638</v>
      </c>
      <c r="B643" s="3" t="str">
        <f>"00124848"</f>
        <v>00124848</v>
      </c>
    </row>
    <row r="644" spans="1:2" x14ac:dyDescent="0.25">
      <c r="A644" s="3">
        <v>639</v>
      </c>
      <c r="B644" s="3" t="str">
        <f>"00124900"</f>
        <v>00124900</v>
      </c>
    </row>
    <row r="645" spans="1:2" x14ac:dyDescent="0.25">
      <c r="A645" s="3">
        <v>640</v>
      </c>
      <c r="B645" s="3" t="str">
        <f>"00124937"</f>
        <v>00124937</v>
      </c>
    </row>
    <row r="646" spans="1:2" x14ac:dyDescent="0.25">
      <c r="A646" s="3">
        <v>641</v>
      </c>
      <c r="B646" s="3" t="str">
        <f>"00124942"</f>
        <v>00124942</v>
      </c>
    </row>
    <row r="647" spans="1:2" x14ac:dyDescent="0.25">
      <c r="A647" s="3">
        <v>642</v>
      </c>
      <c r="B647" s="3" t="str">
        <f>"00124957"</f>
        <v>00124957</v>
      </c>
    </row>
    <row r="648" spans="1:2" x14ac:dyDescent="0.25">
      <c r="A648" s="3">
        <v>643</v>
      </c>
      <c r="B648" s="3" t="str">
        <f>"00124981"</f>
        <v>00124981</v>
      </c>
    </row>
    <row r="649" spans="1:2" x14ac:dyDescent="0.25">
      <c r="A649" s="3">
        <v>644</v>
      </c>
      <c r="B649" s="3" t="str">
        <f>"00125015"</f>
        <v>00125015</v>
      </c>
    </row>
    <row r="650" spans="1:2" x14ac:dyDescent="0.25">
      <c r="A650" s="3">
        <v>645</v>
      </c>
      <c r="B650" s="3" t="str">
        <f>"00125137"</f>
        <v>00125137</v>
      </c>
    </row>
    <row r="651" spans="1:2" x14ac:dyDescent="0.25">
      <c r="A651" s="3">
        <v>646</v>
      </c>
      <c r="B651" s="3" t="str">
        <f>"00125152"</f>
        <v>00125152</v>
      </c>
    </row>
    <row r="652" spans="1:2" x14ac:dyDescent="0.25">
      <c r="A652" s="3">
        <v>647</v>
      </c>
      <c r="B652" s="3" t="str">
        <f>"00125235"</f>
        <v>00125235</v>
      </c>
    </row>
    <row r="653" spans="1:2" x14ac:dyDescent="0.25">
      <c r="A653" s="3">
        <v>648</v>
      </c>
      <c r="B653" s="3" t="str">
        <f>"00125278"</f>
        <v>00125278</v>
      </c>
    </row>
    <row r="654" spans="1:2" x14ac:dyDescent="0.25">
      <c r="A654" s="3">
        <v>649</v>
      </c>
      <c r="B654" s="3" t="str">
        <f>"00125279"</f>
        <v>00125279</v>
      </c>
    </row>
    <row r="655" spans="1:2" x14ac:dyDescent="0.25">
      <c r="A655" s="3">
        <v>650</v>
      </c>
      <c r="B655" s="3" t="str">
        <f>"00125281"</f>
        <v>00125281</v>
      </c>
    </row>
    <row r="656" spans="1:2" x14ac:dyDescent="0.25">
      <c r="A656" s="3">
        <v>651</v>
      </c>
      <c r="B656" s="3" t="str">
        <f>"00125287"</f>
        <v>00125287</v>
      </c>
    </row>
    <row r="657" spans="1:2" x14ac:dyDescent="0.25">
      <c r="A657" s="3">
        <v>652</v>
      </c>
      <c r="B657" s="3" t="str">
        <f>"00125489"</f>
        <v>00125489</v>
      </c>
    </row>
    <row r="658" spans="1:2" x14ac:dyDescent="0.25">
      <c r="A658" s="3">
        <v>653</v>
      </c>
      <c r="B658" s="3" t="str">
        <f>"00125561"</f>
        <v>00125561</v>
      </c>
    </row>
    <row r="659" spans="1:2" x14ac:dyDescent="0.25">
      <c r="A659" s="3">
        <v>654</v>
      </c>
      <c r="B659" s="3" t="str">
        <f>"00125605"</f>
        <v>00125605</v>
      </c>
    </row>
    <row r="660" spans="1:2" x14ac:dyDescent="0.25">
      <c r="A660" s="3">
        <v>655</v>
      </c>
      <c r="B660" s="3" t="str">
        <f>"00125628"</f>
        <v>00125628</v>
      </c>
    </row>
    <row r="661" spans="1:2" x14ac:dyDescent="0.25">
      <c r="A661" s="3">
        <v>656</v>
      </c>
      <c r="B661" s="3" t="str">
        <f>"00125653"</f>
        <v>00125653</v>
      </c>
    </row>
    <row r="662" spans="1:2" x14ac:dyDescent="0.25">
      <c r="A662" s="3">
        <v>657</v>
      </c>
      <c r="B662" s="3" t="str">
        <f>"00125720"</f>
        <v>00125720</v>
      </c>
    </row>
    <row r="663" spans="1:2" x14ac:dyDescent="0.25">
      <c r="A663" s="3">
        <v>658</v>
      </c>
      <c r="B663" s="3" t="str">
        <f>"00125721"</f>
        <v>00125721</v>
      </c>
    </row>
    <row r="664" spans="1:2" x14ac:dyDescent="0.25">
      <c r="A664" s="3">
        <v>659</v>
      </c>
      <c r="B664" s="3" t="str">
        <f>"00125785"</f>
        <v>00125785</v>
      </c>
    </row>
    <row r="665" spans="1:2" x14ac:dyDescent="0.25">
      <c r="A665" s="3">
        <v>660</v>
      </c>
      <c r="B665" s="3" t="str">
        <f>"00125868"</f>
        <v>00125868</v>
      </c>
    </row>
    <row r="666" spans="1:2" x14ac:dyDescent="0.25">
      <c r="A666" s="3">
        <v>661</v>
      </c>
      <c r="B666" s="3" t="str">
        <f>"00125879"</f>
        <v>00125879</v>
      </c>
    </row>
    <row r="667" spans="1:2" x14ac:dyDescent="0.25">
      <c r="A667" s="3">
        <v>662</v>
      </c>
      <c r="B667" s="3" t="str">
        <f>"00125932"</f>
        <v>00125932</v>
      </c>
    </row>
    <row r="668" spans="1:2" x14ac:dyDescent="0.25">
      <c r="A668" s="3">
        <v>663</v>
      </c>
      <c r="B668" s="3" t="str">
        <f>"00125953"</f>
        <v>00125953</v>
      </c>
    </row>
    <row r="669" spans="1:2" x14ac:dyDescent="0.25">
      <c r="A669" s="3">
        <v>664</v>
      </c>
      <c r="B669" s="3" t="str">
        <f>"00125971"</f>
        <v>00125971</v>
      </c>
    </row>
    <row r="670" spans="1:2" x14ac:dyDescent="0.25">
      <c r="A670" s="3">
        <v>665</v>
      </c>
      <c r="B670" s="3" t="str">
        <f>"00126096"</f>
        <v>00126096</v>
      </c>
    </row>
    <row r="671" spans="1:2" x14ac:dyDescent="0.25">
      <c r="A671" s="3">
        <v>666</v>
      </c>
      <c r="B671" s="3" t="str">
        <f>"00126161"</f>
        <v>00126161</v>
      </c>
    </row>
    <row r="672" spans="1:2" x14ac:dyDescent="0.25">
      <c r="A672" s="3">
        <v>667</v>
      </c>
      <c r="B672" s="3" t="str">
        <f>"00126193"</f>
        <v>00126193</v>
      </c>
    </row>
    <row r="673" spans="1:2" x14ac:dyDescent="0.25">
      <c r="A673" s="3">
        <v>668</v>
      </c>
      <c r="B673" s="3" t="str">
        <f>"00126211"</f>
        <v>00126211</v>
      </c>
    </row>
    <row r="674" spans="1:2" x14ac:dyDescent="0.25">
      <c r="A674" s="3">
        <v>669</v>
      </c>
      <c r="B674" s="3" t="str">
        <f>"00126341"</f>
        <v>00126341</v>
      </c>
    </row>
    <row r="675" spans="1:2" x14ac:dyDescent="0.25">
      <c r="A675" s="3">
        <v>670</v>
      </c>
      <c r="B675" s="3" t="str">
        <f>"00126380"</f>
        <v>00126380</v>
      </c>
    </row>
    <row r="676" spans="1:2" x14ac:dyDescent="0.25">
      <c r="A676" s="3">
        <v>671</v>
      </c>
      <c r="B676" s="3" t="str">
        <f>"00126388"</f>
        <v>00126388</v>
      </c>
    </row>
    <row r="677" spans="1:2" x14ac:dyDescent="0.25">
      <c r="A677" s="3">
        <v>672</v>
      </c>
      <c r="B677" s="3" t="str">
        <f>"00126432"</f>
        <v>00126432</v>
      </c>
    </row>
    <row r="678" spans="1:2" x14ac:dyDescent="0.25">
      <c r="A678" s="3">
        <v>673</v>
      </c>
      <c r="B678" s="3" t="str">
        <f>"00126456"</f>
        <v>00126456</v>
      </c>
    </row>
    <row r="679" spans="1:2" x14ac:dyDescent="0.25">
      <c r="A679" s="3">
        <v>674</v>
      </c>
      <c r="B679" s="3" t="str">
        <f>"00126798"</f>
        <v>00126798</v>
      </c>
    </row>
    <row r="680" spans="1:2" x14ac:dyDescent="0.25">
      <c r="A680" s="3">
        <v>675</v>
      </c>
      <c r="B680" s="3" t="str">
        <f>"00126815"</f>
        <v>00126815</v>
      </c>
    </row>
    <row r="681" spans="1:2" x14ac:dyDescent="0.25">
      <c r="A681" s="3">
        <v>676</v>
      </c>
      <c r="B681" s="3" t="str">
        <f>"00126978"</f>
        <v>00126978</v>
      </c>
    </row>
    <row r="682" spans="1:2" x14ac:dyDescent="0.25">
      <c r="A682" s="3">
        <v>677</v>
      </c>
      <c r="B682" s="3" t="str">
        <f>"00127079"</f>
        <v>00127079</v>
      </c>
    </row>
    <row r="683" spans="1:2" x14ac:dyDescent="0.25">
      <c r="A683" s="3">
        <v>678</v>
      </c>
      <c r="B683" s="3" t="str">
        <f>"00127089"</f>
        <v>00127089</v>
      </c>
    </row>
    <row r="684" spans="1:2" x14ac:dyDescent="0.25">
      <c r="A684" s="3">
        <v>679</v>
      </c>
      <c r="B684" s="3" t="str">
        <f>"00127134"</f>
        <v>00127134</v>
      </c>
    </row>
    <row r="685" spans="1:2" x14ac:dyDescent="0.25">
      <c r="A685" s="3">
        <v>680</v>
      </c>
      <c r="B685" s="3" t="str">
        <f>"00127356"</f>
        <v>00127356</v>
      </c>
    </row>
    <row r="686" spans="1:2" x14ac:dyDescent="0.25">
      <c r="A686" s="3">
        <v>681</v>
      </c>
      <c r="B686" s="3" t="str">
        <f>"00127458"</f>
        <v>00127458</v>
      </c>
    </row>
    <row r="687" spans="1:2" x14ac:dyDescent="0.25">
      <c r="A687" s="3">
        <v>682</v>
      </c>
      <c r="B687" s="3" t="str">
        <f>"00127531"</f>
        <v>00127531</v>
      </c>
    </row>
    <row r="688" spans="1:2" x14ac:dyDescent="0.25">
      <c r="A688" s="3">
        <v>683</v>
      </c>
      <c r="B688" s="3" t="str">
        <f>"00127541"</f>
        <v>00127541</v>
      </c>
    </row>
    <row r="689" spans="1:2" x14ac:dyDescent="0.25">
      <c r="A689" s="3">
        <v>684</v>
      </c>
      <c r="B689" s="3" t="str">
        <f>"00127769"</f>
        <v>00127769</v>
      </c>
    </row>
    <row r="690" spans="1:2" x14ac:dyDescent="0.25">
      <c r="A690" s="3">
        <v>685</v>
      </c>
      <c r="B690" s="3" t="str">
        <f>"00127822"</f>
        <v>00127822</v>
      </c>
    </row>
    <row r="691" spans="1:2" x14ac:dyDescent="0.25">
      <c r="A691" s="3">
        <v>686</v>
      </c>
      <c r="B691" s="3" t="str">
        <f>"00127867"</f>
        <v>00127867</v>
      </c>
    </row>
    <row r="692" spans="1:2" x14ac:dyDescent="0.25">
      <c r="A692" s="3">
        <v>687</v>
      </c>
      <c r="B692" s="3" t="str">
        <f>"00127934"</f>
        <v>00127934</v>
      </c>
    </row>
    <row r="693" spans="1:2" x14ac:dyDescent="0.25">
      <c r="A693" s="3">
        <v>688</v>
      </c>
      <c r="B693" s="3" t="str">
        <f>"00128087"</f>
        <v>00128087</v>
      </c>
    </row>
    <row r="694" spans="1:2" x14ac:dyDescent="0.25">
      <c r="A694" s="3">
        <v>689</v>
      </c>
      <c r="B694" s="3" t="str">
        <f>"00128150"</f>
        <v>00128150</v>
      </c>
    </row>
    <row r="695" spans="1:2" x14ac:dyDescent="0.25">
      <c r="A695" s="3">
        <v>690</v>
      </c>
      <c r="B695" s="3" t="str">
        <f>"00128214"</f>
        <v>00128214</v>
      </c>
    </row>
    <row r="696" spans="1:2" x14ac:dyDescent="0.25">
      <c r="A696" s="3">
        <v>691</v>
      </c>
      <c r="B696" s="3" t="str">
        <f>"00128232"</f>
        <v>00128232</v>
      </c>
    </row>
    <row r="697" spans="1:2" x14ac:dyDescent="0.25">
      <c r="A697" s="3">
        <v>692</v>
      </c>
      <c r="B697" s="3" t="str">
        <f>"00128323"</f>
        <v>00128323</v>
      </c>
    </row>
    <row r="698" spans="1:2" x14ac:dyDescent="0.25">
      <c r="A698" s="3">
        <v>693</v>
      </c>
      <c r="B698" s="3" t="str">
        <f>"00128344"</f>
        <v>00128344</v>
      </c>
    </row>
    <row r="699" spans="1:2" x14ac:dyDescent="0.25">
      <c r="A699" s="3">
        <v>694</v>
      </c>
      <c r="B699" s="3" t="str">
        <f>"00128421"</f>
        <v>00128421</v>
      </c>
    </row>
    <row r="700" spans="1:2" x14ac:dyDescent="0.25">
      <c r="A700" s="3">
        <v>695</v>
      </c>
      <c r="B700" s="3" t="str">
        <f>"00128422"</f>
        <v>00128422</v>
      </c>
    </row>
    <row r="701" spans="1:2" x14ac:dyDescent="0.25">
      <c r="A701" s="3">
        <v>696</v>
      </c>
      <c r="B701" s="3" t="str">
        <f>"00128463"</f>
        <v>00128463</v>
      </c>
    </row>
    <row r="702" spans="1:2" x14ac:dyDescent="0.25">
      <c r="A702" s="3">
        <v>697</v>
      </c>
      <c r="B702" s="3" t="str">
        <f>"00128490"</f>
        <v>00128490</v>
      </c>
    </row>
    <row r="703" spans="1:2" x14ac:dyDescent="0.25">
      <c r="A703" s="3">
        <v>698</v>
      </c>
      <c r="B703" s="3" t="str">
        <f>"00128572"</f>
        <v>00128572</v>
      </c>
    </row>
    <row r="704" spans="1:2" x14ac:dyDescent="0.25">
      <c r="A704" s="3">
        <v>699</v>
      </c>
      <c r="B704" s="3" t="str">
        <f>"00128579"</f>
        <v>00128579</v>
      </c>
    </row>
    <row r="705" spans="1:2" x14ac:dyDescent="0.25">
      <c r="A705" s="3">
        <v>700</v>
      </c>
      <c r="B705" s="3" t="str">
        <f>"00128692"</f>
        <v>00128692</v>
      </c>
    </row>
    <row r="706" spans="1:2" x14ac:dyDescent="0.25">
      <c r="A706" s="3">
        <v>701</v>
      </c>
      <c r="B706" s="3" t="str">
        <f>"00128723"</f>
        <v>00128723</v>
      </c>
    </row>
    <row r="707" spans="1:2" x14ac:dyDescent="0.25">
      <c r="A707" s="3">
        <v>702</v>
      </c>
      <c r="B707" s="3" t="str">
        <f>"00128762"</f>
        <v>00128762</v>
      </c>
    </row>
    <row r="708" spans="1:2" x14ac:dyDescent="0.25">
      <c r="A708" s="3">
        <v>703</v>
      </c>
      <c r="B708" s="3" t="str">
        <f>"00128788"</f>
        <v>00128788</v>
      </c>
    </row>
    <row r="709" spans="1:2" x14ac:dyDescent="0.25">
      <c r="A709" s="3">
        <v>704</v>
      </c>
      <c r="B709" s="3" t="str">
        <f>"00128894"</f>
        <v>00128894</v>
      </c>
    </row>
    <row r="710" spans="1:2" x14ac:dyDescent="0.25">
      <c r="A710" s="3">
        <v>705</v>
      </c>
      <c r="B710" s="3" t="str">
        <f>"00129182"</f>
        <v>00129182</v>
      </c>
    </row>
    <row r="711" spans="1:2" x14ac:dyDescent="0.25">
      <c r="A711" s="3">
        <v>706</v>
      </c>
      <c r="B711" s="3" t="str">
        <f>"00129262"</f>
        <v>00129262</v>
      </c>
    </row>
    <row r="712" spans="1:2" x14ac:dyDescent="0.25">
      <c r="A712" s="3">
        <v>707</v>
      </c>
      <c r="B712" s="3" t="str">
        <f>"00129334"</f>
        <v>00129334</v>
      </c>
    </row>
    <row r="713" spans="1:2" x14ac:dyDescent="0.25">
      <c r="A713" s="3">
        <v>708</v>
      </c>
      <c r="B713" s="3" t="str">
        <f>"00129352"</f>
        <v>00129352</v>
      </c>
    </row>
    <row r="714" spans="1:2" x14ac:dyDescent="0.25">
      <c r="A714" s="3">
        <v>709</v>
      </c>
      <c r="B714" s="3" t="str">
        <f>"00129413"</f>
        <v>00129413</v>
      </c>
    </row>
    <row r="715" spans="1:2" x14ac:dyDescent="0.25">
      <c r="A715" s="3">
        <v>710</v>
      </c>
      <c r="B715" s="3" t="str">
        <f>"00129598"</f>
        <v>00129598</v>
      </c>
    </row>
    <row r="716" spans="1:2" x14ac:dyDescent="0.25">
      <c r="A716" s="3">
        <v>711</v>
      </c>
      <c r="B716" s="3" t="str">
        <f>"00129689"</f>
        <v>00129689</v>
      </c>
    </row>
    <row r="717" spans="1:2" x14ac:dyDescent="0.25">
      <c r="A717" s="3">
        <v>712</v>
      </c>
      <c r="B717" s="3" t="str">
        <f>"00129730"</f>
        <v>00129730</v>
      </c>
    </row>
    <row r="718" spans="1:2" x14ac:dyDescent="0.25">
      <c r="A718" s="3">
        <v>713</v>
      </c>
      <c r="B718" s="3" t="str">
        <f>"00129812"</f>
        <v>00129812</v>
      </c>
    </row>
    <row r="719" spans="1:2" x14ac:dyDescent="0.25">
      <c r="A719" s="3">
        <v>714</v>
      </c>
      <c r="B719" s="3" t="str">
        <f>"00129882"</f>
        <v>00129882</v>
      </c>
    </row>
    <row r="720" spans="1:2" x14ac:dyDescent="0.25">
      <c r="A720" s="3">
        <v>715</v>
      </c>
      <c r="B720" s="3" t="str">
        <f>"00130046"</f>
        <v>00130046</v>
      </c>
    </row>
    <row r="721" spans="1:2" x14ac:dyDescent="0.25">
      <c r="A721" s="3">
        <v>716</v>
      </c>
      <c r="B721" s="3" t="str">
        <f>"00130143"</f>
        <v>00130143</v>
      </c>
    </row>
    <row r="722" spans="1:2" x14ac:dyDescent="0.25">
      <c r="A722" s="3">
        <v>717</v>
      </c>
      <c r="B722" s="3" t="str">
        <f>"00130183"</f>
        <v>00130183</v>
      </c>
    </row>
    <row r="723" spans="1:2" x14ac:dyDescent="0.25">
      <c r="A723" s="3">
        <v>718</v>
      </c>
      <c r="B723" s="3" t="str">
        <f>"00130246"</f>
        <v>00130246</v>
      </c>
    </row>
    <row r="724" spans="1:2" x14ac:dyDescent="0.25">
      <c r="A724" s="3">
        <v>719</v>
      </c>
      <c r="B724" s="3" t="str">
        <f>"00130278"</f>
        <v>00130278</v>
      </c>
    </row>
    <row r="725" spans="1:2" x14ac:dyDescent="0.25">
      <c r="A725" s="3">
        <v>720</v>
      </c>
      <c r="B725" s="3" t="str">
        <f>"00130684"</f>
        <v>00130684</v>
      </c>
    </row>
    <row r="726" spans="1:2" x14ac:dyDescent="0.25">
      <c r="A726" s="3">
        <v>721</v>
      </c>
      <c r="B726" s="3" t="str">
        <f>"00130691"</f>
        <v>00130691</v>
      </c>
    </row>
    <row r="727" spans="1:2" x14ac:dyDescent="0.25">
      <c r="A727" s="3">
        <v>722</v>
      </c>
      <c r="B727" s="3" t="str">
        <f>"00130737"</f>
        <v>00130737</v>
      </c>
    </row>
    <row r="728" spans="1:2" x14ac:dyDescent="0.25">
      <c r="A728" s="3">
        <v>723</v>
      </c>
      <c r="B728" s="3" t="str">
        <f>"00130741"</f>
        <v>00130741</v>
      </c>
    </row>
    <row r="729" spans="1:2" x14ac:dyDescent="0.25">
      <c r="A729" s="3">
        <v>724</v>
      </c>
      <c r="B729" s="3" t="str">
        <f>"00130814"</f>
        <v>00130814</v>
      </c>
    </row>
    <row r="730" spans="1:2" x14ac:dyDescent="0.25">
      <c r="A730" s="3">
        <v>725</v>
      </c>
      <c r="B730" s="3" t="str">
        <f>"00131031"</f>
        <v>00131031</v>
      </c>
    </row>
    <row r="731" spans="1:2" x14ac:dyDescent="0.25">
      <c r="A731" s="3">
        <v>726</v>
      </c>
      <c r="B731" s="3" t="str">
        <f>"00131140"</f>
        <v>00131140</v>
      </c>
    </row>
    <row r="732" spans="1:2" x14ac:dyDescent="0.25">
      <c r="A732" s="3">
        <v>727</v>
      </c>
      <c r="B732" s="3" t="str">
        <f>"00131214"</f>
        <v>00131214</v>
      </c>
    </row>
    <row r="733" spans="1:2" x14ac:dyDescent="0.25">
      <c r="A733" s="3">
        <v>728</v>
      </c>
      <c r="B733" s="3" t="str">
        <f>"00131307"</f>
        <v>00131307</v>
      </c>
    </row>
    <row r="734" spans="1:2" x14ac:dyDescent="0.25">
      <c r="A734" s="3">
        <v>729</v>
      </c>
      <c r="B734" s="3" t="str">
        <f>"00131455"</f>
        <v>00131455</v>
      </c>
    </row>
    <row r="735" spans="1:2" x14ac:dyDescent="0.25">
      <c r="A735" s="3">
        <v>730</v>
      </c>
      <c r="B735" s="3" t="str">
        <f>"00131485"</f>
        <v>00131485</v>
      </c>
    </row>
    <row r="736" spans="1:2" x14ac:dyDescent="0.25">
      <c r="A736" s="3">
        <v>731</v>
      </c>
      <c r="B736" s="3" t="str">
        <f>"00131509"</f>
        <v>00131509</v>
      </c>
    </row>
    <row r="737" spans="1:2" x14ac:dyDescent="0.25">
      <c r="A737" s="3">
        <v>732</v>
      </c>
      <c r="B737" s="3" t="str">
        <f>"00131695"</f>
        <v>00131695</v>
      </c>
    </row>
    <row r="738" spans="1:2" x14ac:dyDescent="0.25">
      <c r="A738" s="3">
        <v>733</v>
      </c>
      <c r="B738" s="3" t="str">
        <f>"00131819"</f>
        <v>00131819</v>
      </c>
    </row>
    <row r="739" spans="1:2" x14ac:dyDescent="0.25">
      <c r="A739" s="3">
        <v>734</v>
      </c>
      <c r="B739" s="3" t="str">
        <f>"00131821"</f>
        <v>00131821</v>
      </c>
    </row>
    <row r="740" spans="1:2" x14ac:dyDescent="0.25">
      <c r="A740" s="3">
        <v>735</v>
      </c>
      <c r="B740" s="3" t="str">
        <f>"00132059"</f>
        <v>00132059</v>
      </c>
    </row>
    <row r="741" spans="1:2" x14ac:dyDescent="0.25">
      <c r="A741" s="3">
        <v>736</v>
      </c>
      <c r="B741" s="3" t="str">
        <f>"00132092"</f>
        <v>00132092</v>
      </c>
    </row>
    <row r="742" spans="1:2" x14ac:dyDescent="0.25">
      <c r="A742" s="3">
        <v>737</v>
      </c>
      <c r="B742" s="3" t="str">
        <f>"00132094"</f>
        <v>00132094</v>
      </c>
    </row>
    <row r="743" spans="1:2" x14ac:dyDescent="0.25">
      <c r="A743" s="3">
        <v>738</v>
      </c>
      <c r="B743" s="3" t="str">
        <f>"00132189"</f>
        <v>00132189</v>
      </c>
    </row>
    <row r="744" spans="1:2" x14ac:dyDescent="0.25">
      <c r="A744" s="3">
        <v>739</v>
      </c>
      <c r="B744" s="3" t="str">
        <f>"00132824"</f>
        <v>00132824</v>
      </c>
    </row>
    <row r="745" spans="1:2" x14ac:dyDescent="0.25">
      <c r="A745" s="3">
        <v>740</v>
      </c>
      <c r="B745" s="3" t="str">
        <f>"00132926"</f>
        <v>00132926</v>
      </c>
    </row>
    <row r="746" spans="1:2" x14ac:dyDescent="0.25">
      <c r="A746" s="3">
        <v>741</v>
      </c>
      <c r="B746" s="3" t="str">
        <f>"00132992"</f>
        <v>00132992</v>
      </c>
    </row>
    <row r="747" spans="1:2" x14ac:dyDescent="0.25">
      <c r="A747" s="3">
        <v>742</v>
      </c>
      <c r="B747" s="3" t="str">
        <f>"00133086"</f>
        <v>00133086</v>
      </c>
    </row>
    <row r="748" spans="1:2" x14ac:dyDescent="0.25">
      <c r="A748" s="3">
        <v>743</v>
      </c>
      <c r="B748" s="3" t="str">
        <f>"00133143"</f>
        <v>00133143</v>
      </c>
    </row>
    <row r="749" spans="1:2" x14ac:dyDescent="0.25">
      <c r="A749" s="3">
        <v>744</v>
      </c>
      <c r="B749" s="3" t="str">
        <f>"00134523"</f>
        <v>00134523</v>
      </c>
    </row>
    <row r="750" spans="1:2" x14ac:dyDescent="0.25">
      <c r="A750" s="3">
        <v>745</v>
      </c>
      <c r="B750" s="3" t="str">
        <f>"00134557"</f>
        <v>00134557</v>
      </c>
    </row>
    <row r="751" spans="1:2" x14ac:dyDescent="0.25">
      <c r="A751" s="3">
        <v>746</v>
      </c>
      <c r="B751" s="3" t="str">
        <f>"00134927"</f>
        <v>00134927</v>
      </c>
    </row>
    <row r="752" spans="1:2" x14ac:dyDescent="0.25">
      <c r="A752" s="3">
        <v>747</v>
      </c>
      <c r="B752" s="3" t="str">
        <f>"00134943"</f>
        <v>00134943</v>
      </c>
    </row>
    <row r="753" spans="1:2" x14ac:dyDescent="0.25">
      <c r="A753" s="3">
        <v>748</v>
      </c>
      <c r="B753" s="3" t="str">
        <f>"00135244"</f>
        <v>00135244</v>
      </c>
    </row>
    <row r="754" spans="1:2" x14ac:dyDescent="0.25">
      <c r="A754" s="3">
        <v>749</v>
      </c>
      <c r="B754" s="3" t="str">
        <f>"00135248"</f>
        <v>00135248</v>
      </c>
    </row>
    <row r="755" spans="1:2" x14ac:dyDescent="0.25">
      <c r="A755" s="3">
        <v>750</v>
      </c>
      <c r="B755" s="3" t="str">
        <f>"00135502"</f>
        <v>00135502</v>
      </c>
    </row>
    <row r="756" spans="1:2" x14ac:dyDescent="0.25">
      <c r="A756" s="3">
        <v>751</v>
      </c>
      <c r="B756" s="3" t="str">
        <f>"00135515"</f>
        <v>00135515</v>
      </c>
    </row>
    <row r="757" spans="1:2" x14ac:dyDescent="0.25">
      <c r="A757" s="3">
        <v>752</v>
      </c>
      <c r="B757" s="3" t="str">
        <f>"00135608"</f>
        <v>00135608</v>
      </c>
    </row>
    <row r="758" spans="1:2" x14ac:dyDescent="0.25">
      <c r="A758" s="3">
        <v>753</v>
      </c>
      <c r="B758" s="3" t="str">
        <f>"00136838"</f>
        <v>00136838</v>
      </c>
    </row>
    <row r="759" spans="1:2" x14ac:dyDescent="0.25">
      <c r="A759" s="3">
        <v>754</v>
      </c>
      <c r="B759" s="3" t="str">
        <f>"00137113"</f>
        <v>00137113</v>
      </c>
    </row>
    <row r="760" spans="1:2" x14ac:dyDescent="0.25">
      <c r="A760" s="3">
        <v>755</v>
      </c>
      <c r="B760" s="3" t="str">
        <f>"00137189"</f>
        <v>00137189</v>
      </c>
    </row>
    <row r="761" spans="1:2" x14ac:dyDescent="0.25">
      <c r="A761" s="3">
        <v>756</v>
      </c>
      <c r="B761" s="3" t="str">
        <f>"00137312"</f>
        <v>00137312</v>
      </c>
    </row>
    <row r="762" spans="1:2" x14ac:dyDescent="0.25">
      <c r="A762" s="3">
        <v>757</v>
      </c>
      <c r="B762" s="3" t="str">
        <f>"00137330"</f>
        <v>00137330</v>
      </c>
    </row>
    <row r="763" spans="1:2" x14ac:dyDescent="0.25">
      <c r="A763" s="3">
        <v>758</v>
      </c>
      <c r="B763" s="3" t="str">
        <f>"00137374"</f>
        <v>00137374</v>
      </c>
    </row>
    <row r="764" spans="1:2" x14ac:dyDescent="0.25">
      <c r="A764" s="3">
        <v>759</v>
      </c>
      <c r="B764" s="3" t="str">
        <f>"00137411"</f>
        <v>00137411</v>
      </c>
    </row>
    <row r="765" spans="1:2" x14ac:dyDescent="0.25">
      <c r="A765" s="3">
        <v>760</v>
      </c>
      <c r="B765" s="3" t="str">
        <f>"00137544"</f>
        <v>00137544</v>
      </c>
    </row>
    <row r="766" spans="1:2" x14ac:dyDescent="0.25">
      <c r="A766" s="3">
        <v>761</v>
      </c>
      <c r="B766" s="3" t="str">
        <f>"00137566"</f>
        <v>00137566</v>
      </c>
    </row>
    <row r="767" spans="1:2" x14ac:dyDescent="0.25">
      <c r="A767" s="3">
        <v>762</v>
      </c>
      <c r="B767" s="3" t="str">
        <f>"00138011"</f>
        <v>00138011</v>
      </c>
    </row>
    <row r="768" spans="1:2" x14ac:dyDescent="0.25">
      <c r="A768" s="3">
        <v>763</v>
      </c>
      <c r="B768" s="3" t="str">
        <f>"00142746"</f>
        <v>00142746</v>
      </c>
    </row>
    <row r="769" spans="1:2" x14ac:dyDescent="0.25">
      <c r="A769" s="3">
        <v>764</v>
      </c>
      <c r="B769" s="3" t="str">
        <f>"00143847"</f>
        <v>00143847</v>
      </c>
    </row>
    <row r="770" spans="1:2" x14ac:dyDescent="0.25">
      <c r="A770" s="3">
        <v>765</v>
      </c>
      <c r="B770" s="3" t="str">
        <f>"00143953"</f>
        <v>00143953</v>
      </c>
    </row>
    <row r="771" spans="1:2" x14ac:dyDescent="0.25">
      <c r="A771" s="3">
        <v>766</v>
      </c>
      <c r="B771" s="3" t="str">
        <f>"00144081"</f>
        <v>00144081</v>
      </c>
    </row>
    <row r="772" spans="1:2" x14ac:dyDescent="0.25">
      <c r="A772" s="3">
        <v>767</v>
      </c>
      <c r="B772" s="3" t="str">
        <f>"00146994"</f>
        <v>00146994</v>
      </c>
    </row>
    <row r="773" spans="1:2" x14ac:dyDescent="0.25">
      <c r="A773" s="3">
        <v>768</v>
      </c>
      <c r="B773" s="3" t="str">
        <f>"00147200"</f>
        <v>00147200</v>
      </c>
    </row>
    <row r="774" spans="1:2" x14ac:dyDescent="0.25">
      <c r="A774" s="3">
        <v>769</v>
      </c>
      <c r="B774" s="3" t="str">
        <f>"00147599"</f>
        <v>00147599</v>
      </c>
    </row>
    <row r="775" spans="1:2" x14ac:dyDescent="0.25">
      <c r="A775" s="3">
        <v>770</v>
      </c>
      <c r="B775" s="3" t="str">
        <f>"00147796"</f>
        <v>00147796</v>
      </c>
    </row>
    <row r="776" spans="1:2" x14ac:dyDescent="0.25">
      <c r="A776" s="3">
        <v>771</v>
      </c>
      <c r="B776" s="3" t="str">
        <f>"00148148"</f>
        <v>00148148</v>
      </c>
    </row>
    <row r="777" spans="1:2" x14ac:dyDescent="0.25">
      <c r="A777" s="3">
        <v>772</v>
      </c>
      <c r="B777" s="3" t="str">
        <f>"00148239"</f>
        <v>00148239</v>
      </c>
    </row>
    <row r="778" spans="1:2" x14ac:dyDescent="0.25">
      <c r="A778" s="3">
        <v>773</v>
      </c>
      <c r="B778" s="3" t="str">
        <f>"00148444"</f>
        <v>00148444</v>
      </c>
    </row>
    <row r="779" spans="1:2" x14ac:dyDescent="0.25">
      <c r="A779" s="3">
        <v>774</v>
      </c>
      <c r="B779" s="3" t="str">
        <f>"00148493"</f>
        <v>00148493</v>
      </c>
    </row>
    <row r="780" spans="1:2" x14ac:dyDescent="0.25">
      <c r="A780" s="3">
        <v>775</v>
      </c>
      <c r="B780" s="3" t="str">
        <f>"00150495"</f>
        <v>00150495</v>
      </c>
    </row>
    <row r="781" spans="1:2" x14ac:dyDescent="0.25">
      <c r="A781" s="3">
        <v>776</v>
      </c>
      <c r="B781" s="3" t="str">
        <f>"00150694"</f>
        <v>00150694</v>
      </c>
    </row>
    <row r="782" spans="1:2" x14ac:dyDescent="0.25">
      <c r="A782" s="3">
        <v>777</v>
      </c>
      <c r="B782" s="3" t="str">
        <f>"00154048"</f>
        <v>00154048</v>
      </c>
    </row>
    <row r="783" spans="1:2" x14ac:dyDescent="0.25">
      <c r="A783" s="3">
        <v>778</v>
      </c>
      <c r="B783" s="3" t="str">
        <f>"00154873"</f>
        <v>00154873</v>
      </c>
    </row>
    <row r="784" spans="1:2" x14ac:dyDescent="0.25">
      <c r="A784" s="3">
        <v>779</v>
      </c>
      <c r="B784" s="3" t="str">
        <f>"00155180"</f>
        <v>00155180</v>
      </c>
    </row>
    <row r="785" spans="1:2" x14ac:dyDescent="0.25">
      <c r="A785" s="3">
        <v>780</v>
      </c>
      <c r="B785" s="3" t="str">
        <f>"00155262"</f>
        <v>00155262</v>
      </c>
    </row>
    <row r="786" spans="1:2" x14ac:dyDescent="0.25">
      <c r="A786" s="3">
        <v>781</v>
      </c>
      <c r="B786" s="3" t="str">
        <f>"00155544"</f>
        <v>00155544</v>
      </c>
    </row>
    <row r="787" spans="1:2" x14ac:dyDescent="0.25">
      <c r="A787" s="3">
        <v>782</v>
      </c>
      <c r="B787" s="3" t="str">
        <f>"00156112"</f>
        <v>00156112</v>
      </c>
    </row>
    <row r="788" spans="1:2" x14ac:dyDescent="0.25">
      <c r="A788" s="3">
        <v>783</v>
      </c>
      <c r="B788" s="3" t="str">
        <f>"00156193"</f>
        <v>00156193</v>
      </c>
    </row>
    <row r="789" spans="1:2" x14ac:dyDescent="0.25">
      <c r="A789" s="3">
        <v>784</v>
      </c>
      <c r="B789" s="3" t="str">
        <f>"00156388"</f>
        <v>00156388</v>
      </c>
    </row>
    <row r="790" spans="1:2" x14ac:dyDescent="0.25">
      <c r="A790" s="3">
        <v>785</v>
      </c>
      <c r="B790" s="3" t="str">
        <f>"00156669"</f>
        <v>00156669</v>
      </c>
    </row>
    <row r="791" spans="1:2" x14ac:dyDescent="0.25">
      <c r="A791" s="3">
        <v>786</v>
      </c>
      <c r="B791" s="3" t="str">
        <f>"00157813"</f>
        <v>00157813</v>
      </c>
    </row>
    <row r="792" spans="1:2" x14ac:dyDescent="0.25">
      <c r="A792" s="3">
        <v>787</v>
      </c>
      <c r="B792" s="3" t="str">
        <f>"00158293"</f>
        <v>00158293</v>
      </c>
    </row>
    <row r="793" spans="1:2" x14ac:dyDescent="0.25">
      <c r="A793" s="3">
        <v>788</v>
      </c>
      <c r="B793" s="3" t="str">
        <f>"00158470"</f>
        <v>00158470</v>
      </c>
    </row>
    <row r="794" spans="1:2" x14ac:dyDescent="0.25">
      <c r="A794" s="3">
        <v>789</v>
      </c>
      <c r="B794" s="3" t="str">
        <f>"00158572"</f>
        <v>00158572</v>
      </c>
    </row>
    <row r="795" spans="1:2" x14ac:dyDescent="0.25">
      <c r="A795" s="3">
        <v>790</v>
      </c>
      <c r="B795" s="3" t="str">
        <f>"00158610"</f>
        <v>00158610</v>
      </c>
    </row>
    <row r="796" spans="1:2" x14ac:dyDescent="0.25">
      <c r="A796" s="3">
        <v>791</v>
      </c>
      <c r="B796" s="3" t="str">
        <f>"00158941"</f>
        <v>00158941</v>
      </c>
    </row>
    <row r="797" spans="1:2" x14ac:dyDescent="0.25">
      <c r="A797" s="3">
        <v>792</v>
      </c>
      <c r="B797" s="3" t="str">
        <f>"00159057"</f>
        <v>00159057</v>
      </c>
    </row>
    <row r="798" spans="1:2" x14ac:dyDescent="0.25">
      <c r="A798" s="3">
        <v>793</v>
      </c>
      <c r="B798" s="3" t="str">
        <f>"00159173"</f>
        <v>00159173</v>
      </c>
    </row>
    <row r="799" spans="1:2" x14ac:dyDescent="0.25">
      <c r="A799" s="3">
        <v>794</v>
      </c>
      <c r="B799" s="3" t="str">
        <f>"00160087"</f>
        <v>00160087</v>
      </c>
    </row>
    <row r="800" spans="1:2" x14ac:dyDescent="0.25">
      <c r="A800" s="3">
        <v>795</v>
      </c>
      <c r="B800" s="3" t="str">
        <f>"00160794"</f>
        <v>00160794</v>
      </c>
    </row>
    <row r="801" spans="1:2" x14ac:dyDescent="0.25">
      <c r="A801" s="3">
        <v>796</v>
      </c>
      <c r="B801" s="3" t="str">
        <f>"00161167"</f>
        <v>00161167</v>
      </c>
    </row>
    <row r="802" spans="1:2" x14ac:dyDescent="0.25">
      <c r="A802" s="3">
        <v>797</v>
      </c>
      <c r="B802" s="3" t="str">
        <f>"00161169"</f>
        <v>00161169</v>
      </c>
    </row>
    <row r="803" spans="1:2" x14ac:dyDescent="0.25">
      <c r="A803" s="3">
        <v>798</v>
      </c>
      <c r="B803" s="3" t="str">
        <f>"00161404"</f>
        <v>00161404</v>
      </c>
    </row>
    <row r="804" spans="1:2" x14ac:dyDescent="0.25">
      <c r="A804" s="3">
        <v>799</v>
      </c>
      <c r="B804" s="3" t="str">
        <f>"00161597"</f>
        <v>00161597</v>
      </c>
    </row>
    <row r="805" spans="1:2" x14ac:dyDescent="0.25">
      <c r="A805" s="3">
        <v>800</v>
      </c>
      <c r="B805" s="3" t="str">
        <f>"00161681"</f>
        <v>00161681</v>
      </c>
    </row>
    <row r="806" spans="1:2" x14ac:dyDescent="0.25">
      <c r="A806" s="3">
        <v>801</v>
      </c>
      <c r="B806" s="3" t="str">
        <f>"00161749"</f>
        <v>00161749</v>
      </c>
    </row>
    <row r="807" spans="1:2" x14ac:dyDescent="0.25">
      <c r="A807" s="3">
        <v>802</v>
      </c>
      <c r="B807" s="3" t="str">
        <f>"00161882"</f>
        <v>00161882</v>
      </c>
    </row>
    <row r="808" spans="1:2" x14ac:dyDescent="0.25">
      <c r="A808" s="3">
        <v>803</v>
      </c>
      <c r="B808" s="3" t="str">
        <f>"00161896"</f>
        <v>00161896</v>
      </c>
    </row>
    <row r="809" spans="1:2" x14ac:dyDescent="0.25">
      <c r="A809" s="3">
        <v>804</v>
      </c>
      <c r="B809" s="3" t="str">
        <f>"00161918"</f>
        <v>00161918</v>
      </c>
    </row>
    <row r="810" spans="1:2" x14ac:dyDescent="0.25">
      <c r="A810" s="3">
        <v>805</v>
      </c>
      <c r="B810" s="3" t="str">
        <f>"00161954"</f>
        <v>00161954</v>
      </c>
    </row>
    <row r="811" spans="1:2" x14ac:dyDescent="0.25">
      <c r="A811" s="3">
        <v>806</v>
      </c>
      <c r="B811" s="3" t="str">
        <f>"00162027"</f>
        <v>00162027</v>
      </c>
    </row>
    <row r="812" spans="1:2" x14ac:dyDescent="0.25">
      <c r="A812" s="3">
        <v>807</v>
      </c>
      <c r="B812" s="3" t="str">
        <f>"00162169"</f>
        <v>00162169</v>
      </c>
    </row>
    <row r="813" spans="1:2" x14ac:dyDescent="0.25">
      <c r="A813" s="3">
        <v>808</v>
      </c>
      <c r="B813" s="3" t="str">
        <f>"00162210"</f>
        <v>00162210</v>
      </c>
    </row>
    <row r="814" spans="1:2" x14ac:dyDescent="0.25">
      <c r="A814" s="3">
        <v>809</v>
      </c>
      <c r="B814" s="3" t="str">
        <f>"00162245"</f>
        <v>00162245</v>
      </c>
    </row>
    <row r="815" spans="1:2" x14ac:dyDescent="0.25">
      <c r="A815" s="3">
        <v>810</v>
      </c>
      <c r="B815" s="3" t="str">
        <f>"00162310"</f>
        <v>00162310</v>
      </c>
    </row>
    <row r="816" spans="1:2" x14ac:dyDescent="0.25">
      <c r="A816" s="3">
        <v>811</v>
      </c>
      <c r="B816" s="3" t="str">
        <f>"00162435"</f>
        <v>00162435</v>
      </c>
    </row>
    <row r="817" spans="1:2" x14ac:dyDescent="0.25">
      <c r="A817" s="3">
        <v>812</v>
      </c>
      <c r="B817" s="3" t="str">
        <f>"00162746"</f>
        <v>00162746</v>
      </c>
    </row>
    <row r="818" spans="1:2" x14ac:dyDescent="0.25">
      <c r="A818" s="3">
        <v>813</v>
      </c>
      <c r="B818" s="3" t="str">
        <f>"00162783"</f>
        <v>00162783</v>
      </c>
    </row>
    <row r="819" spans="1:2" x14ac:dyDescent="0.25">
      <c r="A819" s="3">
        <v>814</v>
      </c>
      <c r="B819" s="3" t="str">
        <f>"00162786"</f>
        <v>00162786</v>
      </c>
    </row>
    <row r="820" spans="1:2" x14ac:dyDescent="0.25">
      <c r="A820" s="3">
        <v>815</v>
      </c>
      <c r="B820" s="3" t="str">
        <f>"00162881"</f>
        <v>00162881</v>
      </c>
    </row>
    <row r="821" spans="1:2" x14ac:dyDescent="0.25">
      <c r="A821" s="3">
        <v>816</v>
      </c>
      <c r="B821" s="3" t="str">
        <f>"00162896"</f>
        <v>00162896</v>
      </c>
    </row>
    <row r="822" spans="1:2" x14ac:dyDescent="0.25">
      <c r="A822" s="3">
        <v>817</v>
      </c>
      <c r="B822" s="3" t="str">
        <f>"00163099"</f>
        <v>00163099</v>
      </c>
    </row>
    <row r="823" spans="1:2" x14ac:dyDescent="0.25">
      <c r="A823" s="3">
        <v>818</v>
      </c>
      <c r="B823" s="3" t="str">
        <f>"00163151"</f>
        <v>00163151</v>
      </c>
    </row>
    <row r="824" spans="1:2" x14ac:dyDescent="0.25">
      <c r="A824" s="3">
        <v>819</v>
      </c>
      <c r="B824" s="3" t="str">
        <f>"00163281"</f>
        <v>00163281</v>
      </c>
    </row>
    <row r="825" spans="1:2" x14ac:dyDescent="0.25">
      <c r="A825" s="3">
        <v>820</v>
      </c>
      <c r="B825" s="3" t="str">
        <f>"00163337"</f>
        <v>00163337</v>
      </c>
    </row>
    <row r="826" spans="1:2" x14ac:dyDescent="0.25">
      <c r="A826" s="3">
        <v>821</v>
      </c>
      <c r="B826" s="3" t="str">
        <f>"00163517"</f>
        <v>00163517</v>
      </c>
    </row>
    <row r="827" spans="1:2" x14ac:dyDescent="0.25">
      <c r="A827" s="3">
        <v>822</v>
      </c>
      <c r="B827" s="3" t="str">
        <f>"00163605"</f>
        <v>00163605</v>
      </c>
    </row>
    <row r="828" spans="1:2" x14ac:dyDescent="0.25">
      <c r="A828" s="3">
        <v>823</v>
      </c>
      <c r="B828" s="3" t="str">
        <f>"00163931"</f>
        <v>00163931</v>
      </c>
    </row>
    <row r="829" spans="1:2" x14ac:dyDescent="0.25">
      <c r="A829" s="3">
        <v>824</v>
      </c>
      <c r="B829" s="3" t="str">
        <f>"00164056"</f>
        <v>00164056</v>
      </c>
    </row>
    <row r="830" spans="1:2" x14ac:dyDescent="0.25">
      <c r="A830" s="3">
        <v>825</v>
      </c>
      <c r="B830" s="3" t="str">
        <f>"00164084"</f>
        <v>00164084</v>
      </c>
    </row>
    <row r="831" spans="1:2" x14ac:dyDescent="0.25">
      <c r="A831" s="3">
        <v>826</v>
      </c>
      <c r="B831" s="3" t="str">
        <f>"00164182"</f>
        <v>00164182</v>
      </c>
    </row>
    <row r="832" spans="1:2" x14ac:dyDescent="0.25">
      <c r="A832" s="3">
        <v>827</v>
      </c>
      <c r="B832" s="3" t="str">
        <f>"00164410"</f>
        <v>00164410</v>
      </c>
    </row>
    <row r="833" spans="1:2" x14ac:dyDescent="0.25">
      <c r="A833" s="3">
        <v>828</v>
      </c>
      <c r="B833" s="3" t="str">
        <f>"00164420"</f>
        <v>00164420</v>
      </c>
    </row>
    <row r="834" spans="1:2" x14ac:dyDescent="0.25">
      <c r="A834" s="3">
        <v>829</v>
      </c>
      <c r="B834" s="3" t="str">
        <f>"00164852"</f>
        <v>00164852</v>
      </c>
    </row>
    <row r="835" spans="1:2" x14ac:dyDescent="0.25">
      <c r="A835" s="3">
        <v>830</v>
      </c>
      <c r="B835" s="3" t="str">
        <f>"00165733"</f>
        <v>00165733</v>
      </c>
    </row>
    <row r="836" spans="1:2" x14ac:dyDescent="0.25">
      <c r="A836" s="3">
        <v>831</v>
      </c>
      <c r="B836" s="3" t="str">
        <f>"00165860"</f>
        <v>00165860</v>
      </c>
    </row>
    <row r="837" spans="1:2" x14ac:dyDescent="0.25">
      <c r="A837" s="3">
        <v>832</v>
      </c>
      <c r="B837" s="3" t="str">
        <f>"00167641"</f>
        <v>00167641</v>
      </c>
    </row>
    <row r="838" spans="1:2" x14ac:dyDescent="0.25">
      <c r="A838" s="3">
        <v>833</v>
      </c>
      <c r="B838" s="3" t="str">
        <f>"00167764"</f>
        <v>00167764</v>
      </c>
    </row>
    <row r="839" spans="1:2" x14ac:dyDescent="0.25">
      <c r="A839" s="3">
        <v>834</v>
      </c>
      <c r="B839" s="3" t="str">
        <f>"00168453"</f>
        <v>00168453</v>
      </c>
    </row>
    <row r="840" spans="1:2" x14ac:dyDescent="0.25">
      <c r="A840" s="3">
        <v>835</v>
      </c>
      <c r="B840" s="3" t="str">
        <f>"00168516"</f>
        <v>00168516</v>
      </c>
    </row>
    <row r="841" spans="1:2" x14ac:dyDescent="0.25">
      <c r="A841" s="3">
        <v>836</v>
      </c>
      <c r="B841" s="3" t="str">
        <f>"00168714"</f>
        <v>00168714</v>
      </c>
    </row>
    <row r="842" spans="1:2" x14ac:dyDescent="0.25">
      <c r="A842" s="3">
        <v>837</v>
      </c>
      <c r="B842" s="3" t="str">
        <f>"00168816"</f>
        <v>00168816</v>
      </c>
    </row>
    <row r="843" spans="1:2" x14ac:dyDescent="0.25">
      <c r="A843" s="3">
        <v>838</v>
      </c>
      <c r="B843" s="3" t="str">
        <f>"00169074"</f>
        <v>00169074</v>
      </c>
    </row>
    <row r="844" spans="1:2" x14ac:dyDescent="0.25">
      <c r="A844" s="3">
        <v>839</v>
      </c>
      <c r="B844" s="3" t="str">
        <f>"00169229"</f>
        <v>00169229</v>
      </c>
    </row>
    <row r="845" spans="1:2" x14ac:dyDescent="0.25">
      <c r="A845" s="3">
        <v>840</v>
      </c>
      <c r="B845" s="3" t="str">
        <f>"00169262"</f>
        <v>00169262</v>
      </c>
    </row>
    <row r="846" spans="1:2" x14ac:dyDescent="0.25">
      <c r="A846" s="3">
        <v>841</v>
      </c>
      <c r="B846" s="3" t="str">
        <f>"00169263"</f>
        <v>00169263</v>
      </c>
    </row>
    <row r="847" spans="1:2" x14ac:dyDescent="0.25">
      <c r="A847" s="3">
        <v>842</v>
      </c>
      <c r="B847" s="3" t="str">
        <f>"00169265"</f>
        <v>00169265</v>
      </c>
    </row>
    <row r="848" spans="1:2" x14ac:dyDescent="0.25">
      <c r="A848" s="3">
        <v>843</v>
      </c>
      <c r="B848" s="3" t="str">
        <f>"00169961"</f>
        <v>00169961</v>
      </c>
    </row>
    <row r="849" spans="1:2" x14ac:dyDescent="0.25">
      <c r="A849" s="3">
        <v>844</v>
      </c>
      <c r="B849" s="3" t="str">
        <f>"00170037"</f>
        <v>00170037</v>
      </c>
    </row>
    <row r="850" spans="1:2" x14ac:dyDescent="0.25">
      <c r="A850" s="3">
        <v>845</v>
      </c>
      <c r="B850" s="3" t="str">
        <f>"00170115"</f>
        <v>00170115</v>
      </c>
    </row>
    <row r="851" spans="1:2" x14ac:dyDescent="0.25">
      <c r="A851" s="3">
        <v>846</v>
      </c>
      <c r="B851" s="3" t="str">
        <f>"00171134"</f>
        <v>00171134</v>
      </c>
    </row>
    <row r="852" spans="1:2" x14ac:dyDescent="0.25">
      <c r="A852" s="3">
        <v>847</v>
      </c>
      <c r="B852" s="3" t="str">
        <f>"00171856"</f>
        <v>00171856</v>
      </c>
    </row>
    <row r="853" spans="1:2" x14ac:dyDescent="0.25">
      <c r="A853" s="3">
        <v>848</v>
      </c>
      <c r="B853" s="3" t="str">
        <f>"00172158"</f>
        <v>00172158</v>
      </c>
    </row>
    <row r="854" spans="1:2" x14ac:dyDescent="0.25">
      <c r="A854" s="3">
        <v>849</v>
      </c>
      <c r="B854" s="3" t="str">
        <f>"00172353"</f>
        <v>00172353</v>
      </c>
    </row>
    <row r="855" spans="1:2" x14ac:dyDescent="0.25">
      <c r="A855" s="3">
        <v>850</v>
      </c>
      <c r="B855" s="3" t="str">
        <f>"00172418"</f>
        <v>00172418</v>
      </c>
    </row>
    <row r="856" spans="1:2" x14ac:dyDescent="0.25">
      <c r="A856" s="3">
        <v>851</v>
      </c>
      <c r="B856" s="3" t="str">
        <f>"00172428"</f>
        <v>00172428</v>
      </c>
    </row>
    <row r="857" spans="1:2" x14ac:dyDescent="0.25">
      <c r="A857" s="3">
        <v>852</v>
      </c>
      <c r="B857" s="3" t="str">
        <f>"00172429"</f>
        <v>00172429</v>
      </c>
    </row>
    <row r="858" spans="1:2" x14ac:dyDescent="0.25">
      <c r="A858" s="3">
        <v>853</v>
      </c>
      <c r="B858" s="3" t="str">
        <f>"00172490"</f>
        <v>00172490</v>
      </c>
    </row>
    <row r="859" spans="1:2" x14ac:dyDescent="0.25">
      <c r="A859" s="3">
        <v>854</v>
      </c>
      <c r="B859" s="3" t="str">
        <f>"00172708"</f>
        <v>00172708</v>
      </c>
    </row>
    <row r="860" spans="1:2" x14ac:dyDescent="0.25">
      <c r="A860" s="3">
        <v>855</v>
      </c>
      <c r="B860" s="3" t="str">
        <f>"00173196"</f>
        <v>00173196</v>
      </c>
    </row>
    <row r="861" spans="1:2" x14ac:dyDescent="0.25">
      <c r="A861" s="3">
        <v>856</v>
      </c>
      <c r="B861" s="3" t="str">
        <f>"00173197"</f>
        <v>00173197</v>
      </c>
    </row>
    <row r="862" spans="1:2" x14ac:dyDescent="0.25">
      <c r="A862" s="3">
        <v>857</v>
      </c>
      <c r="B862" s="3" t="str">
        <f>"00173206"</f>
        <v>00173206</v>
      </c>
    </row>
    <row r="863" spans="1:2" x14ac:dyDescent="0.25">
      <c r="A863" s="3">
        <v>858</v>
      </c>
      <c r="B863" s="3" t="str">
        <f>"00173663"</f>
        <v>00173663</v>
      </c>
    </row>
    <row r="864" spans="1:2" x14ac:dyDescent="0.25">
      <c r="A864" s="3">
        <v>859</v>
      </c>
      <c r="B864" s="3" t="str">
        <f>"00173817"</f>
        <v>00173817</v>
      </c>
    </row>
    <row r="865" spans="1:2" x14ac:dyDescent="0.25">
      <c r="A865" s="3">
        <v>860</v>
      </c>
      <c r="B865" s="3" t="str">
        <f>"00173870"</f>
        <v>00173870</v>
      </c>
    </row>
    <row r="866" spans="1:2" x14ac:dyDescent="0.25">
      <c r="A866" s="3">
        <v>861</v>
      </c>
      <c r="B866" s="3" t="str">
        <f>"00174431"</f>
        <v>00174431</v>
      </c>
    </row>
    <row r="867" spans="1:2" x14ac:dyDescent="0.25">
      <c r="A867" s="3">
        <v>862</v>
      </c>
      <c r="B867" s="3" t="str">
        <f>"00174612"</f>
        <v>00174612</v>
      </c>
    </row>
    <row r="868" spans="1:2" x14ac:dyDescent="0.25">
      <c r="A868" s="3">
        <v>863</v>
      </c>
      <c r="B868" s="3" t="str">
        <f>"00175033"</f>
        <v>00175033</v>
      </c>
    </row>
    <row r="869" spans="1:2" x14ac:dyDescent="0.25">
      <c r="A869" s="3">
        <v>864</v>
      </c>
      <c r="B869" s="3" t="str">
        <f>"00175035"</f>
        <v>00175035</v>
      </c>
    </row>
    <row r="870" spans="1:2" x14ac:dyDescent="0.25">
      <c r="A870" s="3">
        <v>865</v>
      </c>
      <c r="B870" s="3" t="str">
        <f>"00175664"</f>
        <v>00175664</v>
      </c>
    </row>
    <row r="871" spans="1:2" x14ac:dyDescent="0.25">
      <c r="A871" s="3">
        <v>866</v>
      </c>
      <c r="B871" s="3" t="str">
        <f>"00175678"</f>
        <v>00175678</v>
      </c>
    </row>
    <row r="872" spans="1:2" x14ac:dyDescent="0.25">
      <c r="A872" s="3">
        <v>867</v>
      </c>
      <c r="B872" s="3" t="str">
        <f>"00175719"</f>
        <v>00175719</v>
      </c>
    </row>
    <row r="873" spans="1:2" x14ac:dyDescent="0.25">
      <c r="A873" s="3">
        <v>868</v>
      </c>
      <c r="B873" s="3" t="str">
        <f>"00175777"</f>
        <v>00175777</v>
      </c>
    </row>
    <row r="874" spans="1:2" x14ac:dyDescent="0.25">
      <c r="A874" s="3">
        <v>869</v>
      </c>
      <c r="B874" s="3" t="str">
        <f>"00175818"</f>
        <v>00175818</v>
      </c>
    </row>
    <row r="875" spans="1:2" x14ac:dyDescent="0.25">
      <c r="A875" s="3">
        <v>870</v>
      </c>
      <c r="B875" s="3" t="str">
        <f>"00182285"</f>
        <v>00182285</v>
      </c>
    </row>
    <row r="876" spans="1:2" x14ac:dyDescent="0.25">
      <c r="A876" s="3">
        <v>871</v>
      </c>
      <c r="B876" s="3" t="str">
        <f>"00182299"</f>
        <v>00182299</v>
      </c>
    </row>
    <row r="877" spans="1:2" x14ac:dyDescent="0.25">
      <c r="A877" s="3">
        <v>872</v>
      </c>
      <c r="B877" s="3" t="str">
        <f>"00184352"</f>
        <v>00184352</v>
      </c>
    </row>
    <row r="878" spans="1:2" x14ac:dyDescent="0.25">
      <c r="A878" s="3">
        <v>873</v>
      </c>
      <c r="B878" s="3" t="str">
        <f>"00185011"</f>
        <v>00185011</v>
      </c>
    </row>
    <row r="879" spans="1:2" x14ac:dyDescent="0.25">
      <c r="A879" s="3">
        <v>874</v>
      </c>
      <c r="B879" s="3" t="str">
        <f>"00185575"</f>
        <v>00185575</v>
      </c>
    </row>
    <row r="880" spans="1:2" x14ac:dyDescent="0.25">
      <c r="A880" s="3">
        <v>875</v>
      </c>
      <c r="B880" s="3" t="str">
        <f>"00186414"</f>
        <v>00186414</v>
      </c>
    </row>
    <row r="881" spans="1:2" x14ac:dyDescent="0.25">
      <c r="A881" s="3">
        <v>876</v>
      </c>
      <c r="B881" s="3" t="str">
        <f>"00186417"</f>
        <v>00186417</v>
      </c>
    </row>
    <row r="882" spans="1:2" x14ac:dyDescent="0.25">
      <c r="A882" s="3">
        <v>877</v>
      </c>
      <c r="B882" s="3" t="str">
        <f>"00186584"</f>
        <v>00186584</v>
      </c>
    </row>
    <row r="883" spans="1:2" x14ac:dyDescent="0.25">
      <c r="A883" s="3">
        <v>878</v>
      </c>
      <c r="B883" s="3" t="str">
        <f>"00187402"</f>
        <v>00187402</v>
      </c>
    </row>
    <row r="884" spans="1:2" x14ac:dyDescent="0.25">
      <c r="A884" s="3">
        <v>879</v>
      </c>
      <c r="B884" s="3" t="str">
        <f>"00189163"</f>
        <v>00189163</v>
      </c>
    </row>
    <row r="885" spans="1:2" x14ac:dyDescent="0.25">
      <c r="A885" s="3">
        <v>880</v>
      </c>
      <c r="B885" s="3" t="str">
        <f>"00189179"</f>
        <v>00189179</v>
      </c>
    </row>
    <row r="886" spans="1:2" x14ac:dyDescent="0.25">
      <c r="A886" s="3">
        <v>881</v>
      </c>
      <c r="B886" s="3" t="str">
        <f>"00189237"</f>
        <v>00189237</v>
      </c>
    </row>
    <row r="887" spans="1:2" x14ac:dyDescent="0.25">
      <c r="A887" s="3">
        <v>882</v>
      </c>
      <c r="B887" s="3" t="str">
        <f>"00192835"</f>
        <v>00192835</v>
      </c>
    </row>
    <row r="888" spans="1:2" x14ac:dyDescent="0.25">
      <c r="A888" s="3">
        <v>883</v>
      </c>
      <c r="B888" s="3" t="str">
        <f>"00194945"</f>
        <v>00194945</v>
      </c>
    </row>
    <row r="889" spans="1:2" x14ac:dyDescent="0.25">
      <c r="A889" s="3">
        <v>884</v>
      </c>
      <c r="B889" s="3" t="str">
        <f>"00195764"</f>
        <v>00195764</v>
      </c>
    </row>
    <row r="890" spans="1:2" x14ac:dyDescent="0.25">
      <c r="A890" s="3">
        <v>885</v>
      </c>
      <c r="B890" s="3" t="str">
        <f>"00197444"</f>
        <v>00197444</v>
      </c>
    </row>
    <row r="891" spans="1:2" x14ac:dyDescent="0.25">
      <c r="A891" s="3">
        <v>886</v>
      </c>
      <c r="B891" s="3" t="str">
        <f>"00199318"</f>
        <v>00199318</v>
      </c>
    </row>
    <row r="892" spans="1:2" x14ac:dyDescent="0.25">
      <c r="A892" s="3">
        <v>887</v>
      </c>
      <c r="B892" s="3" t="str">
        <f>"00199802"</f>
        <v>00199802</v>
      </c>
    </row>
    <row r="893" spans="1:2" x14ac:dyDescent="0.25">
      <c r="A893" s="3">
        <v>888</v>
      </c>
      <c r="B893" s="3" t="str">
        <f>"00201593"</f>
        <v>00201593</v>
      </c>
    </row>
    <row r="894" spans="1:2" x14ac:dyDescent="0.25">
      <c r="A894" s="3">
        <v>889</v>
      </c>
      <c r="B894" s="3" t="str">
        <f>"00202686"</f>
        <v>00202686</v>
      </c>
    </row>
    <row r="895" spans="1:2" x14ac:dyDescent="0.25">
      <c r="A895" s="3">
        <v>890</v>
      </c>
      <c r="B895" s="3" t="str">
        <f>"00203068"</f>
        <v>00203068</v>
      </c>
    </row>
    <row r="896" spans="1:2" x14ac:dyDescent="0.25">
      <c r="A896" s="3">
        <v>891</v>
      </c>
      <c r="B896" s="3" t="str">
        <f>"00203221"</f>
        <v>00203221</v>
      </c>
    </row>
    <row r="897" spans="1:2" x14ac:dyDescent="0.25">
      <c r="A897" s="3">
        <v>892</v>
      </c>
      <c r="B897" s="3" t="str">
        <f>"00203725"</f>
        <v>00203725</v>
      </c>
    </row>
    <row r="898" spans="1:2" x14ac:dyDescent="0.25">
      <c r="A898" s="3">
        <v>893</v>
      </c>
      <c r="B898" s="3" t="str">
        <f>"00205262"</f>
        <v>00205262</v>
      </c>
    </row>
    <row r="899" spans="1:2" x14ac:dyDescent="0.25">
      <c r="A899" s="3">
        <v>894</v>
      </c>
      <c r="B899" s="3" t="str">
        <f>"00206053"</f>
        <v>00206053</v>
      </c>
    </row>
    <row r="900" spans="1:2" x14ac:dyDescent="0.25">
      <c r="A900" s="3">
        <v>895</v>
      </c>
      <c r="B900" s="3" t="str">
        <f>"00206548"</f>
        <v>00206548</v>
      </c>
    </row>
    <row r="901" spans="1:2" x14ac:dyDescent="0.25">
      <c r="A901" s="3">
        <v>896</v>
      </c>
      <c r="B901" s="3" t="str">
        <f>"00208944"</f>
        <v>00208944</v>
      </c>
    </row>
    <row r="902" spans="1:2" x14ac:dyDescent="0.25">
      <c r="A902" s="3">
        <v>897</v>
      </c>
      <c r="B902" s="3" t="str">
        <f>"00209236"</f>
        <v>00209236</v>
      </c>
    </row>
    <row r="903" spans="1:2" x14ac:dyDescent="0.25">
      <c r="A903" s="3">
        <v>898</v>
      </c>
      <c r="B903" s="3" t="str">
        <f>"00209355"</f>
        <v>00209355</v>
      </c>
    </row>
    <row r="904" spans="1:2" x14ac:dyDescent="0.25">
      <c r="A904" s="3">
        <v>899</v>
      </c>
      <c r="B904" s="3" t="str">
        <f>"00210253"</f>
        <v>00210253</v>
      </c>
    </row>
    <row r="905" spans="1:2" x14ac:dyDescent="0.25">
      <c r="A905" s="3">
        <v>900</v>
      </c>
      <c r="B905" s="3" t="str">
        <f>"00210384"</f>
        <v>00210384</v>
      </c>
    </row>
    <row r="906" spans="1:2" x14ac:dyDescent="0.25">
      <c r="A906" s="3">
        <v>901</v>
      </c>
      <c r="B906" s="3" t="str">
        <f>"00210623"</f>
        <v>00210623</v>
      </c>
    </row>
    <row r="907" spans="1:2" x14ac:dyDescent="0.25">
      <c r="A907" s="3">
        <v>902</v>
      </c>
      <c r="B907" s="3" t="str">
        <f>"00211983"</f>
        <v>00211983</v>
      </c>
    </row>
    <row r="908" spans="1:2" x14ac:dyDescent="0.25">
      <c r="A908" s="3">
        <v>903</v>
      </c>
      <c r="B908" s="3" t="str">
        <f>"00211987"</f>
        <v>00211987</v>
      </c>
    </row>
    <row r="909" spans="1:2" x14ac:dyDescent="0.25">
      <c r="A909" s="3">
        <v>904</v>
      </c>
      <c r="B909" s="3" t="str">
        <f>"00214158"</f>
        <v>00214158</v>
      </c>
    </row>
    <row r="910" spans="1:2" x14ac:dyDescent="0.25">
      <c r="A910" s="3">
        <v>905</v>
      </c>
      <c r="B910" s="3" t="str">
        <f>"00214493"</f>
        <v>00214493</v>
      </c>
    </row>
    <row r="911" spans="1:2" x14ac:dyDescent="0.25">
      <c r="A911" s="3">
        <v>906</v>
      </c>
      <c r="B911" s="3" t="str">
        <f>"00215054"</f>
        <v>00215054</v>
      </c>
    </row>
    <row r="912" spans="1:2" x14ac:dyDescent="0.25">
      <c r="A912" s="3">
        <v>907</v>
      </c>
      <c r="B912" s="3" t="str">
        <f>"00215754"</f>
        <v>00215754</v>
      </c>
    </row>
    <row r="913" spans="1:2" x14ac:dyDescent="0.25">
      <c r="A913" s="3">
        <v>908</v>
      </c>
      <c r="B913" s="3" t="str">
        <f>"00215894"</f>
        <v>00215894</v>
      </c>
    </row>
    <row r="914" spans="1:2" x14ac:dyDescent="0.25">
      <c r="A914" s="3">
        <v>909</v>
      </c>
      <c r="B914" s="3" t="str">
        <f>"00216602"</f>
        <v>00216602</v>
      </c>
    </row>
    <row r="915" spans="1:2" x14ac:dyDescent="0.25">
      <c r="A915" s="3">
        <v>910</v>
      </c>
      <c r="B915" s="3" t="str">
        <f>"00218506"</f>
        <v>00218506</v>
      </c>
    </row>
    <row r="916" spans="1:2" x14ac:dyDescent="0.25">
      <c r="A916" s="3">
        <v>911</v>
      </c>
      <c r="B916" s="3" t="str">
        <f>"00219146"</f>
        <v>00219146</v>
      </c>
    </row>
    <row r="917" spans="1:2" x14ac:dyDescent="0.25">
      <c r="A917" s="3">
        <v>912</v>
      </c>
      <c r="B917" s="3" t="str">
        <f>"00219966"</f>
        <v>00219966</v>
      </c>
    </row>
    <row r="918" spans="1:2" x14ac:dyDescent="0.25">
      <c r="A918" s="3">
        <v>913</v>
      </c>
      <c r="B918" s="3" t="str">
        <f>"00220587"</f>
        <v>00220587</v>
      </c>
    </row>
    <row r="919" spans="1:2" x14ac:dyDescent="0.25">
      <c r="A919" s="3">
        <v>914</v>
      </c>
      <c r="B919" s="3" t="str">
        <f>"00220741"</f>
        <v>00220741</v>
      </c>
    </row>
    <row r="920" spans="1:2" x14ac:dyDescent="0.25">
      <c r="A920" s="3">
        <v>915</v>
      </c>
      <c r="B920" s="3" t="str">
        <f>"00221599"</f>
        <v>00221599</v>
      </c>
    </row>
    <row r="921" spans="1:2" x14ac:dyDescent="0.25">
      <c r="A921" s="3">
        <v>916</v>
      </c>
      <c r="B921" s="3" t="str">
        <f>"00221685"</f>
        <v>00221685</v>
      </c>
    </row>
    <row r="922" spans="1:2" x14ac:dyDescent="0.25">
      <c r="A922" s="3">
        <v>917</v>
      </c>
      <c r="B922" s="3" t="str">
        <f>"00221965"</f>
        <v>00221965</v>
      </c>
    </row>
    <row r="923" spans="1:2" x14ac:dyDescent="0.25">
      <c r="A923" s="3">
        <v>918</v>
      </c>
      <c r="B923" s="3" t="str">
        <f>"00222132"</f>
        <v>00222132</v>
      </c>
    </row>
    <row r="924" spans="1:2" x14ac:dyDescent="0.25">
      <c r="A924" s="3">
        <v>919</v>
      </c>
      <c r="B924" s="3" t="str">
        <f>"00222269"</f>
        <v>00222269</v>
      </c>
    </row>
    <row r="925" spans="1:2" x14ac:dyDescent="0.25">
      <c r="A925" s="3">
        <v>920</v>
      </c>
      <c r="B925" s="3" t="str">
        <f>"00222273"</f>
        <v>00222273</v>
      </c>
    </row>
    <row r="926" spans="1:2" x14ac:dyDescent="0.25">
      <c r="A926" s="3">
        <v>921</v>
      </c>
      <c r="B926" s="3" t="str">
        <f>"00222492"</f>
        <v>00222492</v>
      </c>
    </row>
    <row r="927" spans="1:2" x14ac:dyDescent="0.25">
      <c r="A927" s="3">
        <v>922</v>
      </c>
      <c r="B927" s="3" t="str">
        <f>"00222523"</f>
        <v>00222523</v>
      </c>
    </row>
    <row r="928" spans="1:2" x14ac:dyDescent="0.25">
      <c r="A928" s="3">
        <v>923</v>
      </c>
      <c r="B928" s="3" t="str">
        <f>"00222794"</f>
        <v>00222794</v>
      </c>
    </row>
    <row r="929" spans="1:2" x14ac:dyDescent="0.25">
      <c r="A929" s="3">
        <v>924</v>
      </c>
      <c r="B929" s="3" t="str">
        <f>"00222799"</f>
        <v>00222799</v>
      </c>
    </row>
    <row r="930" spans="1:2" x14ac:dyDescent="0.25">
      <c r="A930" s="3">
        <v>925</v>
      </c>
      <c r="B930" s="3" t="str">
        <f>"00222874"</f>
        <v>00222874</v>
      </c>
    </row>
    <row r="931" spans="1:2" x14ac:dyDescent="0.25">
      <c r="A931" s="3">
        <v>926</v>
      </c>
      <c r="B931" s="3" t="str">
        <f>"00222962"</f>
        <v>00222962</v>
      </c>
    </row>
    <row r="932" spans="1:2" x14ac:dyDescent="0.25">
      <c r="A932" s="3">
        <v>927</v>
      </c>
      <c r="B932" s="3" t="str">
        <f>"00222998"</f>
        <v>00222998</v>
      </c>
    </row>
    <row r="933" spans="1:2" x14ac:dyDescent="0.25">
      <c r="A933" s="3">
        <v>928</v>
      </c>
      <c r="B933" s="3" t="str">
        <f>"00223138"</f>
        <v>00223138</v>
      </c>
    </row>
    <row r="934" spans="1:2" x14ac:dyDescent="0.25">
      <c r="A934" s="3">
        <v>929</v>
      </c>
      <c r="B934" s="3" t="str">
        <f>"00223298"</f>
        <v>00223298</v>
      </c>
    </row>
    <row r="935" spans="1:2" x14ac:dyDescent="0.25">
      <c r="A935" s="3">
        <v>930</v>
      </c>
      <c r="B935" s="3" t="str">
        <f>"00223501"</f>
        <v>00223501</v>
      </c>
    </row>
    <row r="936" spans="1:2" x14ac:dyDescent="0.25">
      <c r="A936" s="3">
        <v>931</v>
      </c>
      <c r="B936" s="3" t="str">
        <f>"00223637"</f>
        <v>00223637</v>
      </c>
    </row>
    <row r="937" spans="1:2" x14ac:dyDescent="0.25">
      <c r="A937" s="3">
        <v>932</v>
      </c>
      <c r="B937" s="3" t="str">
        <f>"00223943"</f>
        <v>00223943</v>
      </c>
    </row>
    <row r="938" spans="1:2" x14ac:dyDescent="0.25">
      <c r="A938" s="3">
        <v>933</v>
      </c>
      <c r="B938" s="3" t="str">
        <f>"00224049"</f>
        <v>00224049</v>
      </c>
    </row>
    <row r="939" spans="1:2" x14ac:dyDescent="0.25">
      <c r="A939" s="3">
        <v>934</v>
      </c>
      <c r="B939" s="3" t="str">
        <f>"00224124"</f>
        <v>00224124</v>
      </c>
    </row>
    <row r="940" spans="1:2" x14ac:dyDescent="0.25">
      <c r="A940" s="3">
        <v>935</v>
      </c>
      <c r="B940" s="3" t="str">
        <f>"00224143"</f>
        <v>00224143</v>
      </c>
    </row>
    <row r="941" spans="1:2" x14ac:dyDescent="0.25">
      <c r="A941" s="3">
        <v>936</v>
      </c>
      <c r="B941" s="3" t="str">
        <f>"00224387"</f>
        <v>00224387</v>
      </c>
    </row>
    <row r="942" spans="1:2" x14ac:dyDescent="0.25">
      <c r="A942" s="3">
        <v>937</v>
      </c>
      <c r="B942" s="3" t="str">
        <f>"00224423"</f>
        <v>00224423</v>
      </c>
    </row>
    <row r="943" spans="1:2" x14ac:dyDescent="0.25">
      <c r="A943" s="3">
        <v>938</v>
      </c>
      <c r="B943" s="3" t="str">
        <f>"00224852"</f>
        <v>00224852</v>
      </c>
    </row>
    <row r="944" spans="1:2" x14ac:dyDescent="0.25">
      <c r="A944" s="3">
        <v>939</v>
      </c>
      <c r="B944" s="3" t="str">
        <f>"00225095"</f>
        <v>00225095</v>
      </c>
    </row>
    <row r="945" spans="1:2" x14ac:dyDescent="0.25">
      <c r="A945" s="3">
        <v>940</v>
      </c>
      <c r="B945" s="3" t="str">
        <f>"00225206"</f>
        <v>00225206</v>
      </c>
    </row>
    <row r="946" spans="1:2" x14ac:dyDescent="0.25">
      <c r="A946" s="3">
        <v>941</v>
      </c>
      <c r="B946" s="3" t="str">
        <f>"00225413"</f>
        <v>00225413</v>
      </c>
    </row>
    <row r="947" spans="1:2" x14ac:dyDescent="0.25">
      <c r="A947" s="3">
        <v>942</v>
      </c>
      <c r="B947" s="3" t="str">
        <f>"00225518"</f>
        <v>00225518</v>
      </c>
    </row>
    <row r="948" spans="1:2" x14ac:dyDescent="0.25">
      <c r="A948" s="3">
        <v>943</v>
      </c>
      <c r="B948" s="3" t="str">
        <f>"00225610"</f>
        <v>00225610</v>
      </c>
    </row>
    <row r="949" spans="1:2" x14ac:dyDescent="0.25">
      <c r="A949" s="3">
        <v>944</v>
      </c>
      <c r="B949" s="3" t="str">
        <f>"00225904"</f>
        <v>00225904</v>
      </c>
    </row>
    <row r="950" spans="1:2" x14ac:dyDescent="0.25">
      <c r="A950" s="3">
        <v>945</v>
      </c>
      <c r="B950" s="3" t="str">
        <f>"00226185"</f>
        <v>00226185</v>
      </c>
    </row>
    <row r="951" spans="1:2" x14ac:dyDescent="0.25">
      <c r="A951" s="3">
        <v>946</v>
      </c>
      <c r="B951" s="3" t="str">
        <f>"00226220"</f>
        <v>00226220</v>
      </c>
    </row>
    <row r="952" spans="1:2" x14ac:dyDescent="0.25">
      <c r="A952" s="3">
        <v>947</v>
      </c>
      <c r="B952" s="3" t="str">
        <f>"00226247"</f>
        <v>00226247</v>
      </c>
    </row>
    <row r="953" spans="1:2" x14ac:dyDescent="0.25">
      <c r="A953" s="3">
        <v>948</v>
      </c>
      <c r="B953" s="3" t="str">
        <f>"00226314"</f>
        <v>00226314</v>
      </c>
    </row>
    <row r="954" spans="1:2" x14ac:dyDescent="0.25">
      <c r="A954" s="3">
        <v>949</v>
      </c>
      <c r="B954" s="3" t="str">
        <f>"00226341"</f>
        <v>00226341</v>
      </c>
    </row>
    <row r="955" spans="1:2" x14ac:dyDescent="0.25">
      <c r="A955" s="3">
        <v>950</v>
      </c>
      <c r="B955" s="3" t="str">
        <f>"00226451"</f>
        <v>00226451</v>
      </c>
    </row>
    <row r="956" spans="1:2" x14ac:dyDescent="0.25">
      <c r="A956" s="3">
        <v>951</v>
      </c>
      <c r="B956" s="3" t="str">
        <f>"00226635"</f>
        <v>00226635</v>
      </c>
    </row>
    <row r="957" spans="1:2" x14ac:dyDescent="0.25">
      <c r="A957" s="3">
        <v>952</v>
      </c>
      <c r="B957" s="3" t="str">
        <f>"00227018"</f>
        <v>00227018</v>
      </c>
    </row>
    <row r="958" spans="1:2" x14ac:dyDescent="0.25">
      <c r="A958" s="3">
        <v>953</v>
      </c>
      <c r="B958" s="3" t="str">
        <f>"00227339"</f>
        <v>00227339</v>
      </c>
    </row>
    <row r="959" spans="1:2" x14ac:dyDescent="0.25">
      <c r="A959" s="3">
        <v>954</v>
      </c>
      <c r="B959" s="3" t="str">
        <f>"00227427"</f>
        <v>00227427</v>
      </c>
    </row>
    <row r="960" spans="1:2" x14ac:dyDescent="0.25">
      <c r="A960" s="3">
        <v>955</v>
      </c>
      <c r="B960" s="3" t="str">
        <f>"00227676"</f>
        <v>00227676</v>
      </c>
    </row>
    <row r="961" spans="1:2" x14ac:dyDescent="0.25">
      <c r="A961" s="3">
        <v>956</v>
      </c>
      <c r="B961" s="3" t="str">
        <f>"00227725"</f>
        <v>00227725</v>
      </c>
    </row>
    <row r="962" spans="1:2" x14ac:dyDescent="0.25">
      <c r="A962" s="3">
        <v>957</v>
      </c>
      <c r="B962" s="3" t="str">
        <f>"00227806"</f>
        <v>00227806</v>
      </c>
    </row>
    <row r="963" spans="1:2" x14ac:dyDescent="0.25">
      <c r="A963" s="3">
        <v>958</v>
      </c>
      <c r="B963" s="3" t="str">
        <f>"00228053"</f>
        <v>00228053</v>
      </c>
    </row>
    <row r="964" spans="1:2" x14ac:dyDescent="0.25">
      <c r="A964" s="3">
        <v>959</v>
      </c>
      <c r="B964" s="3" t="str">
        <f>"00228355"</f>
        <v>00228355</v>
      </c>
    </row>
    <row r="965" spans="1:2" x14ac:dyDescent="0.25">
      <c r="A965" s="3">
        <v>960</v>
      </c>
      <c r="B965" s="3" t="str">
        <f>"00228421"</f>
        <v>00228421</v>
      </c>
    </row>
    <row r="966" spans="1:2" x14ac:dyDescent="0.25">
      <c r="A966" s="3">
        <v>961</v>
      </c>
      <c r="B966" s="3" t="str">
        <f>"00228463"</f>
        <v>00228463</v>
      </c>
    </row>
    <row r="967" spans="1:2" x14ac:dyDescent="0.25">
      <c r="A967" s="3">
        <v>962</v>
      </c>
      <c r="B967" s="3" t="str">
        <f>"00228567"</f>
        <v>00228567</v>
      </c>
    </row>
    <row r="968" spans="1:2" x14ac:dyDescent="0.25">
      <c r="A968" s="3">
        <v>963</v>
      </c>
      <c r="B968" s="3" t="str">
        <f>"00228821"</f>
        <v>00228821</v>
      </c>
    </row>
    <row r="969" spans="1:2" x14ac:dyDescent="0.25">
      <c r="A969" s="3">
        <v>964</v>
      </c>
      <c r="B969" s="3" t="str">
        <f>"00228927"</f>
        <v>00228927</v>
      </c>
    </row>
    <row r="970" spans="1:2" x14ac:dyDescent="0.25">
      <c r="A970" s="3">
        <v>965</v>
      </c>
      <c r="B970" s="3" t="str">
        <f>"00229153"</f>
        <v>00229153</v>
      </c>
    </row>
    <row r="971" spans="1:2" x14ac:dyDescent="0.25">
      <c r="A971" s="3">
        <v>966</v>
      </c>
      <c r="B971" s="3" t="str">
        <f>"00229215"</f>
        <v>00229215</v>
      </c>
    </row>
    <row r="972" spans="1:2" x14ac:dyDescent="0.25">
      <c r="A972" s="3">
        <v>967</v>
      </c>
      <c r="B972" s="3" t="str">
        <f>"00229427"</f>
        <v>00229427</v>
      </c>
    </row>
    <row r="973" spans="1:2" x14ac:dyDescent="0.25">
      <c r="A973" s="3">
        <v>968</v>
      </c>
      <c r="B973" s="3" t="str">
        <f>"00229763"</f>
        <v>00229763</v>
      </c>
    </row>
    <row r="974" spans="1:2" x14ac:dyDescent="0.25">
      <c r="A974" s="3">
        <v>969</v>
      </c>
      <c r="B974" s="3" t="str">
        <f>"00229783"</f>
        <v>00229783</v>
      </c>
    </row>
    <row r="975" spans="1:2" x14ac:dyDescent="0.25">
      <c r="A975" s="3">
        <v>970</v>
      </c>
      <c r="B975" s="3" t="str">
        <f>"00229829"</f>
        <v>00229829</v>
      </c>
    </row>
    <row r="976" spans="1:2" x14ac:dyDescent="0.25">
      <c r="A976" s="3">
        <v>971</v>
      </c>
      <c r="B976" s="3" t="str">
        <f>"00229884"</f>
        <v>00229884</v>
      </c>
    </row>
    <row r="977" spans="1:2" x14ac:dyDescent="0.25">
      <c r="A977" s="3">
        <v>972</v>
      </c>
      <c r="B977" s="3" t="str">
        <f>"00229998"</f>
        <v>00229998</v>
      </c>
    </row>
    <row r="978" spans="1:2" x14ac:dyDescent="0.25">
      <c r="A978" s="3">
        <v>973</v>
      </c>
      <c r="B978" s="3" t="str">
        <f>"00230016"</f>
        <v>00230016</v>
      </c>
    </row>
    <row r="979" spans="1:2" x14ac:dyDescent="0.25">
      <c r="A979" s="3">
        <v>974</v>
      </c>
      <c r="B979" s="3" t="str">
        <f>"00230068"</f>
        <v>00230068</v>
      </c>
    </row>
    <row r="980" spans="1:2" x14ac:dyDescent="0.25">
      <c r="A980" s="3">
        <v>975</v>
      </c>
      <c r="B980" s="3" t="str">
        <f>"00230152"</f>
        <v>00230152</v>
      </c>
    </row>
    <row r="981" spans="1:2" x14ac:dyDescent="0.25">
      <c r="A981" s="3">
        <v>976</v>
      </c>
      <c r="B981" s="3" t="str">
        <f>"00230200"</f>
        <v>00230200</v>
      </c>
    </row>
    <row r="982" spans="1:2" x14ac:dyDescent="0.25">
      <c r="A982" s="3">
        <v>977</v>
      </c>
      <c r="B982" s="3" t="str">
        <f>"00230247"</f>
        <v>00230247</v>
      </c>
    </row>
    <row r="983" spans="1:2" x14ac:dyDescent="0.25">
      <c r="A983" s="3">
        <v>978</v>
      </c>
      <c r="B983" s="3" t="str">
        <f>"00230402"</f>
        <v>00230402</v>
      </c>
    </row>
    <row r="984" spans="1:2" x14ac:dyDescent="0.25">
      <c r="A984" s="3">
        <v>979</v>
      </c>
      <c r="B984" s="3" t="str">
        <f>"00230426"</f>
        <v>00230426</v>
      </c>
    </row>
    <row r="985" spans="1:2" x14ac:dyDescent="0.25">
      <c r="A985" s="3">
        <v>980</v>
      </c>
      <c r="B985" s="3" t="str">
        <f>"00230467"</f>
        <v>00230467</v>
      </c>
    </row>
    <row r="986" spans="1:2" x14ac:dyDescent="0.25">
      <c r="A986" s="3">
        <v>981</v>
      </c>
      <c r="B986" s="3" t="str">
        <f>"00230524"</f>
        <v>00230524</v>
      </c>
    </row>
    <row r="987" spans="1:2" x14ac:dyDescent="0.25">
      <c r="A987" s="3">
        <v>982</v>
      </c>
      <c r="B987" s="3" t="str">
        <f>"00230543"</f>
        <v>00230543</v>
      </c>
    </row>
    <row r="988" spans="1:2" x14ac:dyDescent="0.25">
      <c r="A988" s="3">
        <v>983</v>
      </c>
      <c r="B988" s="3" t="str">
        <f>"00230835"</f>
        <v>00230835</v>
      </c>
    </row>
    <row r="989" spans="1:2" x14ac:dyDescent="0.25">
      <c r="A989" s="3">
        <v>984</v>
      </c>
      <c r="B989" s="3" t="str">
        <f>"00231061"</f>
        <v>00231061</v>
      </c>
    </row>
    <row r="990" spans="1:2" x14ac:dyDescent="0.25">
      <c r="A990" s="3">
        <v>985</v>
      </c>
      <c r="B990" s="3" t="str">
        <f>"00231100"</f>
        <v>00231100</v>
      </c>
    </row>
    <row r="991" spans="1:2" x14ac:dyDescent="0.25">
      <c r="A991" s="3">
        <v>986</v>
      </c>
      <c r="B991" s="3" t="str">
        <f>"00231296"</f>
        <v>00231296</v>
      </c>
    </row>
    <row r="992" spans="1:2" x14ac:dyDescent="0.25">
      <c r="A992" s="3">
        <v>987</v>
      </c>
      <c r="B992" s="3" t="str">
        <f>"00231448"</f>
        <v>00231448</v>
      </c>
    </row>
    <row r="993" spans="1:2" x14ac:dyDescent="0.25">
      <c r="A993" s="3">
        <v>988</v>
      </c>
      <c r="B993" s="3" t="str">
        <f>"00231457"</f>
        <v>00231457</v>
      </c>
    </row>
    <row r="994" spans="1:2" x14ac:dyDescent="0.25">
      <c r="A994" s="3">
        <v>989</v>
      </c>
      <c r="B994" s="3" t="str">
        <f>"00232028"</f>
        <v>00232028</v>
      </c>
    </row>
    <row r="995" spans="1:2" x14ac:dyDescent="0.25">
      <c r="A995" s="3">
        <v>990</v>
      </c>
      <c r="B995" s="3" t="str">
        <f>"00232046"</f>
        <v>00232046</v>
      </c>
    </row>
    <row r="996" spans="1:2" x14ac:dyDescent="0.25">
      <c r="A996" s="3">
        <v>991</v>
      </c>
      <c r="B996" s="3" t="str">
        <f>"00232088"</f>
        <v>00232088</v>
      </c>
    </row>
    <row r="997" spans="1:2" x14ac:dyDescent="0.25">
      <c r="A997" s="3">
        <v>992</v>
      </c>
      <c r="B997" s="3" t="str">
        <f>"00232096"</f>
        <v>00232096</v>
      </c>
    </row>
    <row r="998" spans="1:2" x14ac:dyDescent="0.25">
      <c r="A998" s="3">
        <v>993</v>
      </c>
      <c r="B998" s="3" t="str">
        <f>"00232109"</f>
        <v>00232109</v>
      </c>
    </row>
    <row r="999" spans="1:2" x14ac:dyDescent="0.25">
      <c r="A999" s="3">
        <v>994</v>
      </c>
      <c r="B999" s="3" t="str">
        <f>"00232135"</f>
        <v>00232135</v>
      </c>
    </row>
    <row r="1000" spans="1:2" x14ac:dyDescent="0.25">
      <c r="A1000" s="3">
        <v>995</v>
      </c>
      <c r="B1000" s="3" t="str">
        <f>"00236541"</f>
        <v>00236541</v>
      </c>
    </row>
    <row r="1001" spans="1:2" x14ac:dyDescent="0.25">
      <c r="A1001" s="3">
        <v>996</v>
      </c>
      <c r="B1001" s="3" t="str">
        <f>"00236807"</f>
        <v>00236807</v>
      </c>
    </row>
    <row r="1002" spans="1:2" x14ac:dyDescent="0.25">
      <c r="A1002" s="3">
        <v>997</v>
      </c>
      <c r="B1002" s="3" t="str">
        <f>"00236868"</f>
        <v>00236868</v>
      </c>
    </row>
    <row r="1003" spans="1:2" x14ac:dyDescent="0.25">
      <c r="A1003" s="3">
        <v>998</v>
      </c>
      <c r="B1003" s="3" t="str">
        <f>"00237216"</f>
        <v>00237216</v>
      </c>
    </row>
    <row r="1004" spans="1:2" x14ac:dyDescent="0.25">
      <c r="A1004" s="3">
        <v>999</v>
      </c>
      <c r="B1004" s="3" t="str">
        <f>"00237281"</f>
        <v>00237281</v>
      </c>
    </row>
    <row r="1005" spans="1:2" x14ac:dyDescent="0.25">
      <c r="A1005" s="3">
        <v>1000</v>
      </c>
      <c r="B1005" s="3" t="str">
        <f>"00237379"</f>
        <v>00237379</v>
      </c>
    </row>
    <row r="1006" spans="1:2" x14ac:dyDescent="0.25">
      <c r="A1006" s="3">
        <v>1001</v>
      </c>
      <c r="B1006" s="3" t="str">
        <f>"00237950"</f>
        <v>00237950</v>
      </c>
    </row>
    <row r="1007" spans="1:2" x14ac:dyDescent="0.25">
      <c r="A1007" s="3">
        <v>1002</v>
      </c>
      <c r="B1007" s="3" t="str">
        <f>"00238162"</f>
        <v>00238162</v>
      </c>
    </row>
    <row r="1008" spans="1:2" x14ac:dyDescent="0.25">
      <c r="A1008" s="3">
        <v>1003</v>
      </c>
      <c r="B1008" s="3" t="str">
        <f>"00238254"</f>
        <v>00238254</v>
      </c>
    </row>
    <row r="1009" spans="1:2" x14ac:dyDescent="0.25">
      <c r="A1009" s="3">
        <v>1004</v>
      </c>
      <c r="B1009" s="3" t="str">
        <f>"00238303"</f>
        <v>00238303</v>
      </c>
    </row>
    <row r="1010" spans="1:2" x14ac:dyDescent="0.25">
      <c r="A1010" s="3">
        <v>1005</v>
      </c>
      <c r="B1010" s="3" t="str">
        <f>"00238943"</f>
        <v>00238943</v>
      </c>
    </row>
    <row r="1011" spans="1:2" x14ac:dyDescent="0.25">
      <c r="A1011" s="3">
        <v>1006</v>
      </c>
      <c r="B1011" s="3" t="str">
        <f>"00239272"</f>
        <v>00239272</v>
      </c>
    </row>
    <row r="1012" spans="1:2" x14ac:dyDescent="0.25">
      <c r="A1012" s="3">
        <v>1007</v>
      </c>
      <c r="B1012" s="3" t="str">
        <f>"00240465"</f>
        <v>00240465</v>
      </c>
    </row>
    <row r="1013" spans="1:2" x14ac:dyDescent="0.25">
      <c r="A1013" s="3">
        <v>1008</v>
      </c>
      <c r="B1013" s="3" t="str">
        <f>"00243562"</f>
        <v>00243562</v>
      </c>
    </row>
    <row r="1014" spans="1:2" x14ac:dyDescent="0.25">
      <c r="A1014" s="3">
        <v>1009</v>
      </c>
      <c r="B1014" s="3" t="str">
        <f>"00244138"</f>
        <v>00244138</v>
      </c>
    </row>
    <row r="1015" spans="1:2" x14ac:dyDescent="0.25">
      <c r="A1015" s="3">
        <v>1010</v>
      </c>
      <c r="B1015" s="3" t="str">
        <f>"00245537"</f>
        <v>00245537</v>
      </c>
    </row>
    <row r="1016" spans="1:2" x14ac:dyDescent="0.25">
      <c r="A1016" s="3">
        <v>1011</v>
      </c>
      <c r="B1016" s="3" t="str">
        <f>"00246400"</f>
        <v>00246400</v>
      </c>
    </row>
    <row r="1017" spans="1:2" x14ac:dyDescent="0.25">
      <c r="A1017" s="3">
        <v>1012</v>
      </c>
      <c r="B1017" s="3" t="str">
        <f>"00248333"</f>
        <v>00248333</v>
      </c>
    </row>
    <row r="1018" spans="1:2" x14ac:dyDescent="0.25">
      <c r="A1018" s="3">
        <v>1013</v>
      </c>
      <c r="B1018" s="3" t="str">
        <f>"00249570"</f>
        <v>00249570</v>
      </c>
    </row>
    <row r="1019" spans="1:2" x14ac:dyDescent="0.25">
      <c r="A1019" s="3">
        <v>1014</v>
      </c>
      <c r="B1019" s="3" t="str">
        <f>"00250974"</f>
        <v>00250974</v>
      </c>
    </row>
    <row r="1020" spans="1:2" x14ac:dyDescent="0.25">
      <c r="A1020" s="3">
        <v>1015</v>
      </c>
      <c r="B1020" s="3" t="str">
        <f>"00252490"</f>
        <v>00252490</v>
      </c>
    </row>
    <row r="1021" spans="1:2" x14ac:dyDescent="0.25">
      <c r="A1021" s="3">
        <v>1016</v>
      </c>
      <c r="B1021" s="3" t="str">
        <f>"00253754"</f>
        <v>00253754</v>
      </c>
    </row>
    <row r="1022" spans="1:2" x14ac:dyDescent="0.25">
      <c r="A1022" s="3">
        <v>1017</v>
      </c>
      <c r="B1022" s="3" t="str">
        <f>"00256552"</f>
        <v>00256552</v>
      </c>
    </row>
    <row r="1023" spans="1:2" x14ac:dyDescent="0.25">
      <c r="A1023" s="3">
        <v>1018</v>
      </c>
      <c r="B1023" s="3" t="str">
        <f>"00257393"</f>
        <v>00257393</v>
      </c>
    </row>
    <row r="1024" spans="1:2" x14ac:dyDescent="0.25">
      <c r="A1024" s="3">
        <v>1019</v>
      </c>
      <c r="B1024" s="3" t="str">
        <f>"00260215"</f>
        <v>00260215</v>
      </c>
    </row>
    <row r="1025" spans="1:2" x14ac:dyDescent="0.25">
      <c r="A1025" s="3">
        <v>1020</v>
      </c>
      <c r="B1025" s="3" t="str">
        <f>"00264718"</f>
        <v>00264718</v>
      </c>
    </row>
    <row r="1026" spans="1:2" x14ac:dyDescent="0.25">
      <c r="A1026" s="3">
        <v>1021</v>
      </c>
      <c r="B1026" s="3" t="str">
        <f>"00267735"</f>
        <v>00267735</v>
      </c>
    </row>
    <row r="1027" spans="1:2" x14ac:dyDescent="0.25">
      <c r="A1027" s="3">
        <v>1022</v>
      </c>
      <c r="B1027" s="3" t="str">
        <f>"00268863"</f>
        <v>00268863</v>
      </c>
    </row>
    <row r="1028" spans="1:2" x14ac:dyDescent="0.25">
      <c r="A1028" s="3">
        <v>1023</v>
      </c>
      <c r="B1028" s="3" t="str">
        <f>"00275224"</f>
        <v>00275224</v>
      </c>
    </row>
    <row r="1029" spans="1:2" x14ac:dyDescent="0.25">
      <c r="A1029" s="3">
        <v>1024</v>
      </c>
      <c r="B1029" s="3" t="str">
        <f>"00275335"</f>
        <v>00275335</v>
      </c>
    </row>
    <row r="1030" spans="1:2" x14ac:dyDescent="0.25">
      <c r="A1030" s="3">
        <v>1025</v>
      </c>
      <c r="B1030" s="3" t="str">
        <f>"00275808"</f>
        <v>00275808</v>
      </c>
    </row>
    <row r="1031" spans="1:2" x14ac:dyDescent="0.25">
      <c r="A1031" s="3">
        <v>1026</v>
      </c>
      <c r="B1031" s="3" t="str">
        <f>"00275885"</f>
        <v>00275885</v>
      </c>
    </row>
    <row r="1032" spans="1:2" x14ac:dyDescent="0.25">
      <c r="A1032" s="3">
        <v>1027</v>
      </c>
      <c r="B1032" s="3" t="str">
        <f>"00280889"</f>
        <v>00280889</v>
      </c>
    </row>
    <row r="1033" spans="1:2" x14ac:dyDescent="0.25">
      <c r="A1033" s="3">
        <v>1028</v>
      </c>
      <c r="B1033" s="3" t="str">
        <f>"00281506"</f>
        <v>00281506</v>
      </c>
    </row>
    <row r="1034" spans="1:2" x14ac:dyDescent="0.25">
      <c r="A1034" s="3">
        <v>1029</v>
      </c>
      <c r="B1034" s="3" t="str">
        <f>"00282681"</f>
        <v>00282681</v>
      </c>
    </row>
    <row r="1035" spans="1:2" x14ac:dyDescent="0.25">
      <c r="A1035" s="3">
        <v>1030</v>
      </c>
      <c r="B1035" s="3" t="str">
        <f>"00283514"</f>
        <v>00283514</v>
      </c>
    </row>
    <row r="1036" spans="1:2" x14ac:dyDescent="0.25">
      <c r="A1036" s="3">
        <v>1031</v>
      </c>
      <c r="B1036" s="3" t="str">
        <f>"00287287"</f>
        <v>00287287</v>
      </c>
    </row>
    <row r="1037" spans="1:2" x14ac:dyDescent="0.25">
      <c r="A1037" s="3">
        <v>1032</v>
      </c>
      <c r="B1037" s="3" t="str">
        <f>"00287342"</f>
        <v>00287342</v>
      </c>
    </row>
    <row r="1038" spans="1:2" x14ac:dyDescent="0.25">
      <c r="A1038" s="3">
        <v>1033</v>
      </c>
      <c r="B1038" s="3" t="str">
        <f>"00291576"</f>
        <v>00291576</v>
      </c>
    </row>
    <row r="1039" spans="1:2" x14ac:dyDescent="0.25">
      <c r="A1039" s="3">
        <v>1034</v>
      </c>
      <c r="B1039" s="3" t="str">
        <f>"00293255"</f>
        <v>00293255</v>
      </c>
    </row>
    <row r="1040" spans="1:2" x14ac:dyDescent="0.25">
      <c r="A1040" s="3">
        <v>1035</v>
      </c>
      <c r="B1040" s="3" t="str">
        <f>"00300094"</f>
        <v>00300094</v>
      </c>
    </row>
    <row r="1041" spans="1:2" x14ac:dyDescent="0.25">
      <c r="A1041" s="3">
        <v>1036</v>
      </c>
      <c r="B1041" s="3" t="str">
        <f>"00302846"</f>
        <v>00302846</v>
      </c>
    </row>
    <row r="1042" spans="1:2" x14ac:dyDescent="0.25">
      <c r="A1042" s="3">
        <v>1037</v>
      </c>
      <c r="B1042" s="3" t="str">
        <f>"00302995"</f>
        <v>00302995</v>
      </c>
    </row>
    <row r="1043" spans="1:2" x14ac:dyDescent="0.25">
      <c r="A1043" s="3">
        <v>1038</v>
      </c>
      <c r="B1043" s="3" t="str">
        <f>"00306615"</f>
        <v>00306615</v>
      </c>
    </row>
    <row r="1044" spans="1:2" x14ac:dyDescent="0.25">
      <c r="A1044" s="3">
        <v>1039</v>
      </c>
      <c r="B1044" s="3" t="str">
        <f>"00309114"</f>
        <v>00309114</v>
      </c>
    </row>
    <row r="1045" spans="1:2" x14ac:dyDescent="0.25">
      <c r="A1045" s="3">
        <v>1040</v>
      </c>
      <c r="B1045" s="3" t="str">
        <f>"00310280"</f>
        <v>00310280</v>
      </c>
    </row>
    <row r="1046" spans="1:2" x14ac:dyDescent="0.25">
      <c r="A1046" s="3">
        <v>1041</v>
      </c>
      <c r="B1046" s="3" t="str">
        <f>"00310298"</f>
        <v>00310298</v>
      </c>
    </row>
    <row r="1047" spans="1:2" x14ac:dyDescent="0.25">
      <c r="A1047" s="3">
        <v>1042</v>
      </c>
      <c r="B1047" s="3" t="str">
        <f>"00313032"</f>
        <v>00313032</v>
      </c>
    </row>
    <row r="1048" spans="1:2" x14ac:dyDescent="0.25">
      <c r="A1048" s="3">
        <v>1043</v>
      </c>
      <c r="B1048" s="3" t="str">
        <f>"00313226"</f>
        <v>00313226</v>
      </c>
    </row>
    <row r="1049" spans="1:2" x14ac:dyDescent="0.25">
      <c r="A1049" s="3">
        <v>1044</v>
      </c>
      <c r="B1049" s="3" t="str">
        <f>"00313367"</f>
        <v>00313367</v>
      </c>
    </row>
    <row r="1050" spans="1:2" x14ac:dyDescent="0.25">
      <c r="A1050" s="3">
        <v>1045</v>
      </c>
      <c r="B1050" s="3" t="str">
        <f>"00315837"</f>
        <v>00315837</v>
      </c>
    </row>
    <row r="1051" spans="1:2" x14ac:dyDescent="0.25">
      <c r="A1051" s="3">
        <v>1046</v>
      </c>
      <c r="B1051" s="3" t="str">
        <f>"00316146"</f>
        <v>00316146</v>
      </c>
    </row>
    <row r="1052" spans="1:2" x14ac:dyDescent="0.25">
      <c r="A1052" s="3">
        <v>1047</v>
      </c>
      <c r="B1052" s="3" t="str">
        <f>"00319509"</f>
        <v>00319509</v>
      </c>
    </row>
    <row r="1053" spans="1:2" x14ac:dyDescent="0.25">
      <c r="A1053" s="3">
        <v>1048</v>
      </c>
      <c r="B1053" s="3" t="str">
        <f>"00321381"</f>
        <v>00321381</v>
      </c>
    </row>
    <row r="1054" spans="1:2" x14ac:dyDescent="0.25">
      <c r="A1054" s="3">
        <v>1049</v>
      </c>
      <c r="B1054" s="3" t="str">
        <f>"00323679"</f>
        <v>00323679</v>
      </c>
    </row>
    <row r="1055" spans="1:2" x14ac:dyDescent="0.25">
      <c r="A1055" s="3">
        <v>1050</v>
      </c>
      <c r="B1055" s="3" t="str">
        <f>"00324087"</f>
        <v>00324087</v>
      </c>
    </row>
    <row r="1056" spans="1:2" x14ac:dyDescent="0.25">
      <c r="A1056" s="3">
        <v>1051</v>
      </c>
      <c r="B1056" s="3" t="str">
        <f>"00324124"</f>
        <v>00324124</v>
      </c>
    </row>
    <row r="1057" spans="1:2" x14ac:dyDescent="0.25">
      <c r="A1057" s="3">
        <v>1052</v>
      </c>
      <c r="B1057" s="3" t="str">
        <f>"00328154"</f>
        <v>00328154</v>
      </c>
    </row>
    <row r="1058" spans="1:2" x14ac:dyDescent="0.25">
      <c r="A1058" s="3">
        <v>1053</v>
      </c>
      <c r="B1058" s="3" t="str">
        <f>"00331422"</f>
        <v>00331422</v>
      </c>
    </row>
    <row r="1059" spans="1:2" x14ac:dyDescent="0.25">
      <c r="A1059" s="3">
        <v>1054</v>
      </c>
      <c r="B1059" s="3" t="str">
        <f>"00335611"</f>
        <v>00335611</v>
      </c>
    </row>
    <row r="1060" spans="1:2" x14ac:dyDescent="0.25">
      <c r="A1060" s="3">
        <v>1055</v>
      </c>
      <c r="B1060" s="3" t="str">
        <f>"00336816"</f>
        <v>00336816</v>
      </c>
    </row>
    <row r="1061" spans="1:2" x14ac:dyDescent="0.25">
      <c r="A1061" s="3">
        <v>1056</v>
      </c>
      <c r="B1061" s="3" t="str">
        <f>"00341137"</f>
        <v>00341137</v>
      </c>
    </row>
    <row r="1062" spans="1:2" x14ac:dyDescent="0.25">
      <c r="A1062" s="3">
        <v>1057</v>
      </c>
      <c r="B1062" s="3" t="str">
        <f>"00341445"</f>
        <v>00341445</v>
      </c>
    </row>
    <row r="1063" spans="1:2" x14ac:dyDescent="0.25">
      <c r="A1063" s="3">
        <v>1058</v>
      </c>
      <c r="B1063" s="3" t="str">
        <f>"00345915"</f>
        <v>00345915</v>
      </c>
    </row>
    <row r="1064" spans="1:2" x14ac:dyDescent="0.25">
      <c r="A1064" s="3">
        <v>1059</v>
      </c>
      <c r="B1064" s="3" t="str">
        <f>"00345965"</f>
        <v>00345965</v>
      </c>
    </row>
    <row r="1065" spans="1:2" x14ac:dyDescent="0.25">
      <c r="A1065" s="3">
        <v>1060</v>
      </c>
      <c r="B1065" s="3" t="str">
        <f>"00351247"</f>
        <v>00351247</v>
      </c>
    </row>
    <row r="1066" spans="1:2" x14ac:dyDescent="0.25">
      <c r="A1066" s="3">
        <v>1061</v>
      </c>
      <c r="B1066" s="3" t="str">
        <f>"00351509"</f>
        <v>00351509</v>
      </c>
    </row>
    <row r="1067" spans="1:2" x14ac:dyDescent="0.25">
      <c r="A1067" s="3">
        <v>1062</v>
      </c>
      <c r="B1067" s="3" t="str">
        <f>"00352080"</f>
        <v>00352080</v>
      </c>
    </row>
    <row r="1068" spans="1:2" x14ac:dyDescent="0.25">
      <c r="A1068" s="3">
        <v>1063</v>
      </c>
      <c r="B1068" s="3" t="str">
        <f>"00359323"</f>
        <v>00359323</v>
      </c>
    </row>
    <row r="1069" spans="1:2" x14ac:dyDescent="0.25">
      <c r="A1069" s="3">
        <v>1064</v>
      </c>
      <c r="B1069" s="3" t="str">
        <f>"00361693"</f>
        <v>00361693</v>
      </c>
    </row>
    <row r="1070" spans="1:2" x14ac:dyDescent="0.25">
      <c r="A1070" s="3">
        <v>1065</v>
      </c>
      <c r="B1070" s="3" t="str">
        <f>"00362684"</f>
        <v>00362684</v>
      </c>
    </row>
    <row r="1071" spans="1:2" x14ac:dyDescent="0.25">
      <c r="A1071" s="3">
        <v>1066</v>
      </c>
      <c r="B1071" s="3" t="str">
        <f>"00366753"</f>
        <v>00366753</v>
      </c>
    </row>
    <row r="1072" spans="1:2" x14ac:dyDescent="0.25">
      <c r="A1072" s="3">
        <v>1067</v>
      </c>
      <c r="B1072" s="3" t="str">
        <f>"00369233"</f>
        <v>00369233</v>
      </c>
    </row>
    <row r="1073" spans="1:2" x14ac:dyDescent="0.25">
      <c r="A1073" s="3">
        <v>1068</v>
      </c>
      <c r="B1073" s="3" t="str">
        <f>"00377332"</f>
        <v>00377332</v>
      </c>
    </row>
    <row r="1074" spans="1:2" x14ac:dyDescent="0.25">
      <c r="A1074" s="3">
        <v>1069</v>
      </c>
      <c r="B1074" s="3" t="str">
        <f>"00396982"</f>
        <v>00396982</v>
      </c>
    </row>
    <row r="1075" spans="1:2" x14ac:dyDescent="0.25">
      <c r="A1075" s="3">
        <v>1070</v>
      </c>
      <c r="B1075" s="3" t="str">
        <f>"00402259"</f>
        <v>00402259</v>
      </c>
    </row>
    <row r="1076" spans="1:2" x14ac:dyDescent="0.25">
      <c r="A1076" s="3">
        <v>1071</v>
      </c>
      <c r="B1076" s="3" t="str">
        <f>"00406582"</f>
        <v>00406582</v>
      </c>
    </row>
    <row r="1077" spans="1:2" x14ac:dyDescent="0.25">
      <c r="A1077" s="3">
        <v>1072</v>
      </c>
      <c r="B1077" s="3" t="str">
        <f>"00408231"</f>
        <v>00408231</v>
      </c>
    </row>
    <row r="1078" spans="1:2" x14ac:dyDescent="0.25">
      <c r="A1078" s="3">
        <v>1073</v>
      </c>
      <c r="B1078" s="3" t="str">
        <f>"00418174"</f>
        <v>00418174</v>
      </c>
    </row>
    <row r="1079" spans="1:2" x14ac:dyDescent="0.25">
      <c r="A1079" s="3">
        <v>1074</v>
      </c>
      <c r="B1079" s="3" t="str">
        <f>"00420594"</f>
        <v>00420594</v>
      </c>
    </row>
    <row r="1080" spans="1:2" x14ac:dyDescent="0.25">
      <c r="A1080" s="3">
        <v>1075</v>
      </c>
      <c r="B1080" s="3" t="str">
        <f>"00424757"</f>
        <v>00424757</v>
      </c>
    </row>
    <row r="1081" spans="1:2" x14ac:dyDescent="0.25">
      <c r="A1081" s="3">
        <v>1076</v>
      </c>
      <c r="B1081" s="3" t="str">
        <f>"00425005"</f>
        <v>00425005</v>
      </c>
    </row>
    <row r="1082" spans="1:2" x14ac:dyDescent="0.25">
      <c r="A1082" s="3">
        <v>1077</v>
      </c>
      <c r="B1082" s="3" t="str">
        <f>"00425092"</f>
        <v>00425092</v>
      </c>
    </row>
    <row r="1083" spans="1:2" x14ac:dyDescent="0.25">
      <c r="A1083" s="3">
        <v>1078</v>
      </c>
      <c r="B1083" s="3" t="str">
        <f>"00425976"</f>
        <v>00425976</v>
      </c>
    </row>
    <row r="1084" spans="1:2" x14ac:dyDescent="0.25">
      <c r="A1084" s="3">
        <v>1079</v>
      </c>
      <c r="B1084" s="3" t="str">
        <f>"00426489"</f>
        <v>00426489</v>
      </c>
    </row>
    <row r="1085" spans="1:2" x14ac:dyDescent="0.25">
      <c r="A1085" s="3">
        <v>1080</v>
      </c>
      <c r="B1085" s="3" t="str">
        <f>"00426938"</f>
        <v>00426938</v>
      </c>
    </row>
    <row r="1086" spans="1:2" x14ac:dyDescent="0.25">
      <c r="A1086" s="3">
        <v>1081</v>
      </c>
      <c r="B1086" s="3" t="str">
        <f>"00428340"</f>
        <v>00428340</v>
      </c>
    </row>
    <row r="1087" spans="1:2" x14ac:dyDescent="0.25">
      <c r="A1087" s="3">
        <v>1082</v>
      </c>
      <c r="B1087" s="3" t="str">
        <f>"00428622"</f>
        <v>00428622</v>
      </c>
    </row>
    <row r="1088" spans="1:2" x14ac:dyDescent="0.25">
      <c r="A1088" s="3">
        <v>1083</v>
      </c>
      <c r="B1088" s="3" t="str">
        <f>"00429328"</f>
        <v>00429328</v>
      </c>
    </row>
    <row r="1089" spans="1:2" x14ac:dyDescent="0.25">
      <c r="A1089" s="3">
        <v>1084</v>
      </c>
      <c r="B1089" s="3" t="str">
        <f>"00432091"</f>
        <v>00432091</v>
      </c>
    </row>
    <row r="1090" spans="1:2" x14ac:dyDescent="0.25">
      <c r="A1090" s="3">
        <v>1085</v>
      </c>
      <c r="B1090" s="3" t="str">
        <f>"00432694"</f>
        <v>00432694</v>
      </c>
    </row>
    <row r="1091" spans="1:2" x14ac:dyDescent="0.25">
      <c r="A1091" s="3">
        <v>1086</v>
      </c>
      <c r="B1091" s="3" t="str">
        <f>"00433288"</f>
        <v>00433288</v>
      </c>
    </row>
    <row r="1092" spans="1:2" x14ac:dyDescent="0.25">
      <c r="A1092" s="3">
        <v>1087</v>
      </c>
      <c r="B1092" s="3" t="str">
        <f>"00433662"</f>
        <v>00433662</v>
      </c>
    </row>
    <row r="1093" spans="1:2" x14ac:dyDescent="0.25">
      <c r="A1093" s="3">
        <v>1088</v>
      </c>
      <c r="B1093" s="3" t="str">
        <f>"00433846"</f>
        <v>00433846</v>
      </c>
    </row>
    <row r="1094" spans="1:2" x14ac:dyDescent="0.25">
      <c r="A1094" s="3">
        <v>1089</v>
      </c>
      <c r="B1094" s="3" t="str">
        <f>"00434499"</f>
        <v>00434499</v>
      </c>
    </row>
    <row r="1095" spans="1:2" x14ac:dyDescent="0.25">
      <c r="A1095" s="3">
        <v>1090</v>
      </c>
      <c r="B1095" s="3" t="str">
        <f>"00435019"</f>
        <v>00435019</v>
      </c>
    </row>
    <row r="1096" spans="1:2" x14ac:dyDescent="0.25">
      <c r="A1096" s="3">
        <v>1091</v>
      </c>
      <c r="B1096" s="3" t="str">
        <f>"00435562"</f>
        <v>00435562</v>
      </c>
    </row>
    <row r="1097" spans="1:2" x14ac:dyDescent="0.25">
      <c r="A1097" s="3">
        <v>1092</v>
      </c>
      <c r="B1097" s="3" t="str">
        <f>"00435749"</f>
        <v>00435749</v>
      </c>
    </row>
    <row r="1098" spans="1:2" x14ac:dyDescent="0.25">
      <c r="A1098" s="3">
        <v>1093</v>
      </c>
      <c r="B1098" s="3" t="str">
        <f>"00435820"</f>
        <v>00435820</v>
      </c>
    </row>
    <row r="1099" spans="1:2" x14ac:dyDescent="0.25">
      <c r="A1099" s="3">
        <v>1094</v>
      </c>
      <c r="B1099" s="3" t="str">
        <f>"00436861"</f>
        <v>00436861</v>
      </c>
    </row>
    <row r="1100" spans="1:2" x14ac:dyDescent="0.25">
      <c r="A1100" s="3">
        <v>1095</v>
      </c>
      <c r="B1100" s="3" t="str">
        <f>"00438923"</f>
        <v>00438923</v>
      </c>
    </row>
    <row r="1101" spans="1:2" x14ac:dyDescent="0.25">
      <c r="A1101" s="3">
        <v>1096</v>
      </c>
      <c r="B1101" s="3" t="str">
        <f>"00440233"</f>
        <v>00440233</v>
      </c>
    </row>
    <row r="1102" spans="1:2" x14ac:dyDescent="0.25">
      <c r="A1102" s="3">
        <v>1097</v>
      </c>
      <c r="B1102" s="3" t="str">
        <f>"00440285"</f>
        <v>00440285</v>
      </c>
    </row>
    <row r="1103" spans="1:2" x14ac:dyDescent="0.25">
      <c r="A1103" s="3">
        <v>1098</v>
      </c>
      <c r="B1103" s="3" t="str">
        <f>"00440353"</f>
        <v>00440353</v>
      </c>
    </row>
    <row r="1104" spans="1:2" x14ac:dyDescent="0.25">
      <c r="A1104" s="3">
        <v>1099</v>
      </c>
      <c r="B1104" s="3" t="str">
        <f>"00440395"</f>
        <v>00440395</v>
      </c>
    </row>
    <row r="1105" spans="1:2" x14ac:dyDescent="0.25">
      <c r="A1105" s="3">
        <v>1100</v>
      </c>
      <c r="B1105" s="3" t="str">
        <f>"00440764"</f>
        <v>00440764</v>
      </c>
    </row>
    <row r="1106" spans="1:2" x14ac:dyDescent="0.25">
      <c r="A1106" s="3">
        <v>1101</v>
      </c>
      <c r="B1106" s="3" t="str">
        <f>"00440879"</f>
        <v>00440879</v>
      </c>
    </row>
    <row r="1107" spans="1:2" x14ac:dyDescent="0.25">
      <c r="A1107" s="3">
        <v>1102</v>
      </c>
      <c r="B1107" s="3" t="str">
        <f>"00440943"</f>
        <v>00440943</v>
      </c>
    </row>
    <row r="1108" spans="1:2" x14ac:dyDescent="0.25">
      <c r="A1108" s="3">
        <v>1103</v>
      </c>
      <c r="B1108" s="3" t="str">
        <f>"00441020"</f>
        <v>00441020</v>
      </c>
    </row>
    <row r="1109" spans="1:2" x14ac:dyDescent="0.25">
      <c r="A1109" s="3">
        <v>1104</v>
      </c>
      <c r="B1109" s="3" t="str">
        <f>"00441024"</f>
        <v>00441024</v>
      </c>
    </row>
    <row r="1110" spans="1:2" x14ac:dyDescent="0.25">
      <c r="A1110" s="3">
        <v>1105</v>
      </c>
      <c r="B1110" s="3" t="str">
        <f>"00441797"</f>
        <v>00441797</v>
      </c>
    </row>
    <row r="1111" spans="1:2" x14ac:dyDescent="0.25">
      <c r="A1111" s="3">
        <v>1106</v>
      </c>
      <c r="B1111" s="3" t="str">
        <f>"00442123"</f>
        <v>00442123</v>
      </c>
    </row>
    <row r="1112" spans="1:2" x14ac:dyDescent="0.25">
      <c r="A1112" s="3">
        <v>1107</v>
      </c>
      <c r="B1112" s="3" t="str">
        <f>"00442327"</f>
        <v>00442327</v>
      </c>
    </row>
    <row r="1113" spans="1:2" x14ac:dyDescent="0.25">
      <c r="A1113" s="3">
        <v>1108</v>
      </c>
      <c r="B1113" s="3" t="str">
        <f>"00442567"</f>
        <v>00442567</v>
      </c>
    </row>
    <row r="1114" spans="1:2" x14ac:dyDescent="0.25">
      <c r="A1114" s="3">
        <v>1109</v>
      </c>
      <c r="B1114" s="3" t="str">
        <f>"00442608"</f>
        <v>00442608</v>
      </c>
    </row>
    <row r="1115" spans="1:2" x14ac:dyDescent="0.25">
      <c r="A1115" s="3">
        <v>1110</v>
      </c>
      <c r="B1115" s="3" t="str">
        <f>"00442765"</f>
        <v>00442765</v>
      </c>
    </row>
    <row r="1116" spans="1:2" x14ac:dyDescent="0.25">
      <c r="A1116" s="3">
        <v>1111</v>
      </c>
      <c r="B1116" s="3" t="str">
        <f>"00442845"</f>
        <v>00442845</v>
      </c>
    </row>
    <row r="1117" spans="1:2" x14ac:dyDescent="0.25">
      <c r="A1117" s="3">
        <v>1112</v>
      </c>
      <c r="B1117" s="3" t="str">
        <f>"00442909"</f>
        <v>00442909</v>
      </c>
    </row>
    <row r="1118" spans="1:2" x14ac:dyDescent="0.25">
      <c r="A1118" s="3">
        <v>1113</v>
      </c>
      <c r="B1118" s="3" t="str">
        <f>"00443037"</f>
        <v>00443037</v>
      </c>
    </row>
    <row r="1119" spans="1:2" x14ac:dyDescent="0.25">
      <c r="A1119" s="3">
        <v>1114</v>
      </c>
      <c r="B1119" s="3" t="str">
        <f>"00443057"</f>
        <v>00443057</v>
      </c>
    </row>
    <row r="1120" spans="1:2" x14ac:dyDescent="0.25">
      <c r="A1120" s="3">
        <v>1115</v>
      </c>
      <c r="B1120" s="3" t="str">
        <f>"00443173"</f>
        <v>00443173</v>
      </c>
    </row>
    <row r="1121" spans="1:2" x14ac:dyDescent="0.25">
      <c r="A1121" s="3">
        <v>1116</v>
      </c>
      <c r="B1121" s="3" t="str">
        <f>"00443282"</f>
        <v>00443282</v>
      </c>
    </row>
    <row r="1122" spans="1:2" x14ac:dyDescent="0.25">
      <c r="A1122" s="3">
        <v>1117</v>
      </c>
      <c r="B1122" s="3" t="str">
        <f>"00443418"</f>
        <v>00443418</v>
      </c>
    </row>
    <row r="1123" spans="1:2" x14ac:dyDescent="0.25">
      <c r="A1123" s="3">
        <v>1118</v>
      </c>
      <c r="B1123" s="3" t="str">
        <f>"00443492"</f>
        <v>00443492</v>
      </c>
    </row>
    <row r="1124" spans="1:2" x14ac:dyDescent="0.25">
      <c r="A1124" s="3">
        <v>1119</v>
      </c>
      <c r="B1124" s="3" t="str">
        <f>"00443519"</f>
        <v>00443519</v>
      </c>
    </row>
    <row r="1125" spans="1:2" x14ac:dyDescent="0.25">
      <c r="A1125" s="3">
        <v>1120</v>
      </c>
      <c r="B1125" s="3" t="str">
        <f>"00443990"</f>
        <v>00443990</v>
      </c>
    </row>
    <row r="1126" spans="1:2" x14ac:dyDescent="0.25">
      <c r="A1126" s="3">
        <v>1121</v>
      </c>
      <c r="B1126" s="3" t="str">
        <f>"00444120"</f>
        <v>00444120</v>
      </c>
    </row>
    <row r="1127" spans="1:2" x14ac:dyDescent="0.25">
      <c r="A1127" s="3">
        <v>1122</v>
      </c>
      <c r="B1127" s="3" t="str">
        <f>"00444170"</f>
        <v>00444170</v>
      </c>
    </row>
    <row r="1128" spans="1:2" x14ac:dyDescent="0.25">
      <c r="A1128" s="3">
        <v>1123</v>
      </c>
      <c r="B1128" s="3" t="str">
        <f>"00444363"</f>
        <v>00444363</v>
      </c>
    </row>
    <row r="1129" spans="1:2" x14ac:dyDescent="0.25">
      <c r="A1129" s="3">
        <v>1124</v>
      </c>
      <c r="B1129" s="3" t="str">
        <f>"00444403"</f>
        <v>00444403</v>
      </c>
    </row>
    <row r="1130" spans="1:2" x14ac:dyDescent="0.25">
      <c r="A1130" s="3">
        <v>1125</v>
      </c>
      <c r="B1130" s="3" t="str">
        <f>"00444476"</f>
        <v>00444476</v>
      </c>
    </row>
    <row r="1131" spans="1:2" x14ac:dyDescent="0.25">
      <c r="A1131" s="3">
        <v>1126</v>
      </c>
      <c r="B1131" s="3" t="str">
        <f>"00444595"</f>
        <v>00444595</v>
      </c>
    </row>
    <row r="1132" spans="1:2" x14ac:dyDescent="0.25">
      <c r="A1132" s="3">
        <v>1127</v>
      </c>
      <c r="B1132" s="3" t="str">
        <f>"00445188"</f>
        <v>00445188</v>
      </c>
    </row>
    <row r="1133" spans="1:2" x14ac:dyDescent="0.25">
      <c r="A1133" s="3">
        <v>1128</v>
      </c>
      <c r="B1133" s="3" t="str">
        <f>"00445230"</f>
        <v>00445230</v>
      </c>
    </row>
    <row r="1134" spans="1:2" x14ac:dyDescent="0.25">
      <c r="A1134" s="3">
        <v>1129</v>
      </c>
      <c r="B1134" s="3" t="str">
        <f>"00445330"</f>
        <v>00445330</v>
      </c>
    </row>
    <row r="1135" spans="1:2" x14ac:dyDescent="0.25">
      <c r="A1135" s="3">
        <v>1130</v>
      </c>
      <c r="B1135" s="3" t="str">
        <f>"00445484"</f>
        <v>00445484</v>
      </c>
    </row>
    <row r="1136" spans="1:2" x14ac:dyDescent="0.25">
      <c r="A1136" s="3">
        <v>1131</v>
      </c>
      <c r="B1136" s="3" t="str">
        <f>"00445531"</f>
        <v>00445531</v>
      </c>
    </row>
    <row r="1137" spans="1:2" x14ac:dyDescent="0.25">
      <c r="A1137" s="3">
        <v>1132</v>
      </c>
      <c r="B1137" s="3" t="str">
        <f>"00445697"</f>
        <v>00445697</v>
      </c>
    </row>
    <row r="1138" spans="1:2" x14ac:dyDescent="0.25">
      <c r="A1138" s="3">
        <v>1133</v>
      </c>
      <c r="B1138" s="3" t="str">
        <f>"00445844"</f>
        <v>00445844</v>
      </c>
    </row>
    <row r="1139" spans="1:2" x14ac:dyDescent="0.25">
      <c r="A1139" s="3">
        <v>1134</v>
      </c>
      <c r="B1139" s="3" t="str">
        <f>"00445881"</f>
        <v>00445881</v>
      </c>
    </row>
    <row r="1140" spans="1:2" x14ac:dyDescent="0.25">
      <c r="A1140" s="3">
        <v>1135</v>
      </c>
      <c r="B1140" s="3" t="str">
        <f>"00446207"</f>
        <v>00446207</v>
      </c>
    </row>
    <row r="1141" spans="1:2" x14ac:dyDescent="0.25">
      <c r="A1141" s="3">
        <v>1136</v>
      </c>
      <c r="B1141" s="3" t="str">
        <f>"00446291"</f>
        <v>00446291</v>
      </c>
    </row>
    <row r="1142" spans="1:2" x14ac:dyDescent="0.25">
      <c r="A1142" s="3">
        <v>1137</v>
      </c>
      <c r="B1142" s="3" t="str">
        <f>"00446324"</f>
        <v>00446324</v>
      </c>
    </row>
    <row r="1143" spans="1:2" x14ac:dyDescent="0.25">
      <c r="A1143" s="3">
        <v>1138</v>
      </c>
      <c r="B1143" s="3" t="str">
        <f>"00446396"</f>
        <v>00446396</v>
      </c>
    </row>
    <row r="1144" spans="1:2" x14ac:dyDescent="0.25">
      <c r="A1144" s="3">
        <v>1139</v>
      </c>
      <c r="B1144" s="3" t="str">
        <f>"00446449"</f>
        <v>00446449</v>
      </c>
    </row>
    <row r="1145" spans="1:2" x14ac:dyDescent="0.25">
      <c r="A1145" s="3">
        <v>1140</v>
      </c>
      <c r="B1145" s="3" t="str">
        <f>"00446631"</f>
        <v>00446631</v>
      </c>
    </row>
    <row r="1146" spans="1:2" x14ac:dyDescent="0.25">
      <c r="A1146" s="3">
        <v>1141</v>
      </c>
      <c r="B1146" s="3" t="str">
        <f>"00446699"</f>
        <v>00446699</v>
      </c>
    </row>
    <row r="1147" spans="1:2" x14ac:dyDescent="0.25">
      <c r="A1147" s="3">
        <v>1142</v>
      </c>
      <c r="B1147" s="3" t="str">
        <f>"00446808"</f>
        <v>00446808</v>
      </c>
    </row>
    <row r="1148" spans="1:2" x14ac:dyDescent="0.25">
      <c r="A1148" s="3">
        <v>1143</v>
      </c>
      <c r="B1148" s="3" t="str">
        <f>"00446909"</f>
        <v>00446909</v>
      </c>
    </row>
    <row r="1149" spans="1:2" x14ac:dyDescent="0.25">
      <c r="A1149" s="3">
        <v>1144</v>
      </c>
      <c r="B1149" s="3" t="str">
        <f>"00447058"</f>
        <v>00447058</v>
      </c>
    </row>
    <row r="1150" spans="1:2" x14ac:dyDescent="0.25">
      <c r="A1150" s="3">
        <v>1145</v>
      </c>
      <c r="B1150" s="3" t="str">
        <f>"00447081"</f>
        <v>00447081</v>
      </c>
    </row>
    <row r="1151" spans="1:2" x14ac:dyDescent="0.25">
      <c r="A1151" s="3">
        <v>1146</v>
      </c>
      <c r="B1151" s="3" t="str">
        <f>"00447172"</f>
        <v>00447172</v>
      </c>
    </row>
    <row r="1152" spans="1:2" x14ac:dyDescent="0.25">
      <c r="A1152" s="3">
        <v>1147</v>
      </c>
      <c r="B1152" s="3" t="str">
        <f>"00447428"</f>
        <v>00447428</v>
      </c>
    </row>
    <row r="1153" spans="1:2" x14ac:dyDescent="0.25">
      <c r="A1153" s="3">
        <v>1148</v>
      </c>
      <c r="B1153" s="3" t="str">
        <f>"00447604"</f>
        <v>00447604</v>
      </c>
    </row>
    <row r="1154" spans="1:2" x14ac:dyDescent="0.25">
      <c r="A1154" s="3">
        <v>1149</v>
      </c>
      <c r="B1154" s="3" t="str">
        <f>"00447680"</f>
        <v>00447680</v>
      </c>
    </row>
    <row r="1155" spans="1:2" x14ac:dyDescent="0.25">
      <c r="A1155" s="3">
        <v>1150</v>
      </c>
      <c r="B1155" s="3" t="str">
        <f>"00447717"</f>
        <v>00447717</v>
      </c>
    </row>
    <row r="1156" spans="1:2" x14ac:dyDescent="0.25">
      <c r="A1156" s="3">
        <v>1151</v>
      </c>
      <c r="B1156" s="3" t="str">
        <f>"00447753"</f>
        <v>00447753</v>
      </c>
    </row>
    <row r="1157" spans="1:2" x14ac:dyDescent="0.25">
      <c r="A1157" s="3">
        <v>1152</v>
      </c>
      <c r="B1157" s="3" t="str">
        <f>"00448075"</f>
        <v>00448075</v>
      </c>
    </row>
    <row r="1158" spans="1:2" x14ac:dyDescent="0.25">
      <c r="A1158" s="3">
        <v>1153</v>
      </c>
      <c r="B1158" s="3" t="str">
        <f>"00448163"</f>
        <v>00448163</v>
      </c>
    </row>
    <row r="1159" spans="1:2" x14ac:dyDescent="0.25">
      <c r="A1159" s="3">
        <v>1154</v>
      </c>
      <c r="B1159" s="3" t="str">
        <f>"00448260"</f>
        <v>00448260</v>
      </c>
    </row>
    <row r="1160" spans="1:2" x14ac:dyDescent="0.25">
      <c r="A1160" s="3">
        <v>1155</v>
      </c>
      <c r="B1160" s="3" t="str">
        <f>"00448459"</f>
        <v>00448459</v>
      </c>
    </row>
    <row r="1161" spans="1:2" x14ac:dyDescent="0.25">
      <c r="A1161" s="3">
        <v>1156</v>
      </c>
      <c r="B1161" s="3" t="str">
        <f>"00448640"</f>
        <v>00448640</v>
      </c>
    </row>
    <row r="1162" spans="1:2" x14ac:dyDescent="0.25">
      <c r="A1162" s="3">
        <v>1157</v>
      </c>
      <c r="B1162" s="3" t="str">
        <f>"00448721"</f>
        <v>00448721</v>
      </c>
    </row>
    <row r="1163" spans="1:2" x14ac:dyDescent="0.25">
      <c r="A1163" s="3">
        <v>1158</v>
      </c>
      <c r="B1163" s="3" t="str">
        <f>"00448768"</f>
        <v>00448768</v>
      </c>
    </row>
    <row r="1164" spans="1:2" x14ac:dyDescent="0.25">
      <c r="A1164" s="3">
        <v>1159</v>
      </c>
      <c r="B1164" s="3" t="str">
        <f>"00448773"</f>
        <v>00448773</v>
      </c>
    </row>
    <row r="1165" spans="1:2" x14ac:dyDescent="0.25">
      <c r="A1165" s="3">
        <v>1160</v>
      </c>
      <c r="B1165" s="3" t="str">
        <f>"00448829"</f>
        <v>00448829</v>
      </c>
    </row>
    <row r="1166" spans="1:2" x14ac:dyDescent="0.25">
      <c r="A1166" s="3">
        <v>1161</v>
      </c>
      <c r="B1166" s="3" t="str">
        <f>"00448871"</f>
        <v>00448871</v>
      </c>
    </row>
    <row r="1167" spans="1:2" x14ac:dyDescent="0.25">
      <c r="A1167" s="3">
        <v>1162</v>
      </c>
      <c r="B1167" s="3" t="str">
        <f>"00448949"</f>
        <v>00448949</v>
      </c>
    </row>
    <row r="1168" spans="1:2" x14ac:dyDescent="0.25">
      <c r="A1168" s="3">
        <v>1163</v>
      </c>
      <c r="B1168" s="3" t="str">
        <f>"00449033"</f>
        <v>00449033</v>
      </c>
    </row>
    <row r="1169" spans="1:2" x14ac:dyDescent="0.25">
      <c r="A1169" s="3">
        <v>1164</v>
      </c>
      <c r="B1169" s="3" t="str">
        <f>"00449040"</f>
        <v>00449040</v>
      </c>
    </row>
    <row r="1170" spans="1:2" x14ac:dyDescent="0.25">
      <c r="A1170" s="3">
        <v>1165</v>
      </c>
      <c r="B1170" s="3" t="str">
        <f>"00449055"</f>
        <v>00449055</v>
      </c>
    </row>
    <row r="1171" spans="1:2" x14ac:dyDescent="0.25">
      <c r="A1171" s="3">
        <v>1166</v>
      </c>
      <c r="B1171" s="3" t="str">
        <f>"00449072"</f>
        <v>00449072</v>
      </c>
    </row>
    <row r="1172" spans="1:2" x14ac:dyDescent="0.25">
      <c r="A1172" s="3">
        <v>1167</v>
      </c>
      <c r="B1172" s="3" t="str">
        <f>"00449212"</f>
        <v>00449212</v>
      </c>
    </row>
    <row r="1173" spans="1:2" x14ac:dyDescent="0.25">
      <c r="A1173" s="3">
        <v>1168</v>
      </c>
      <c r="B1173" s="3" t="str">
        <f>"00449380"</f>
        <v>00449380</v>
      </c>
    </row>
    <row r="1174" spans="1:2" x14ac:dyDescent="0.25">
      <c r="A1174" s="3">
        <v>1169</v>
      </c>
      <c r="B1174" s="3" t="str">
        <f>"00449387"</f>
        <v>00449387</v>
      </c>
    </row>
    <row r="1175" spans="1:2" x14ac:dyDescent="0.25">
      <c r="A1175" s="3">
        <v>1170</v>
      </c>
      <c r="B1175" s="3" t="str">
        <f>"00449389"</f>
        <v>00449389</v>
      </c>
    </row>
    <row r="1176" spans="1:2" x14ac:dyDescent="0.25">
      <c r="A1176" s="3">
        <v>1171</v>
      </c>
      <c r="B1176" s="3" t="str">
        <f>"00449670"</f>
        <v>00449670</v>
      </c>
    </row>
    <row r="1177" spans="1:2" x14ac:dyDescent="0.25">
      <c r="A1177" s="3">
        <v>1172</v>
      </c>
      <c r="B1177" s="3" t="str">
        <f>"00449692"</f>
        <v>00449692</v>
      </c>
    </row>
    <row r="1178" spans="1:2" x14ac:dyDescent="0.25">
      <c r="A1178" s="3">
        <v>1173</v>
      </c>
      <c r="B1178" s="3" t="str">
        <f>"00449728"</f>
        <v>00449728</v>
      </c>
    </row>
    <row r="1179" spans="1:2" x14ac:dyDescent="0.25">
      <c r="A1179" s="3">
        <v>1174</v>
      </c>
      <c r="B1179" s="3" t="str">
        <f>"00450062"</f>
        <v>00450062</v>
      </c>
    </row>
    <row r="1180" spans="1:2" x14ac:dyDescent="0.25">
      <c r="A1180" s="3">
        <v>1175</v>
      </c>
      <c r="B1180" s="3" t="str">
        <f>"00450063"</f>
        <v>00450063</v>
      </c>
    </row>
    <row r="1181" spans="1:2" x14ac:dyDescent="0.25">
      <c r="A1181" s="3">
        <v>1176</v>
      </c>
      <c r="B1181" s="3" t="str">
        <f>"00450169"</f>
        <v>00450169</v>
      </c>
    </row>
    <row r="1182" spans="1:2" x14ac:dyDescent="0.25">
      <c r="A1182" s="3">
        <v>1177</v>
      </c>
      <c r="B1182" s="3" t="str">
        <f>"00450182"</f>
        <v>00450182</v>
      </c>
    </row>
    <row r="1183" spans="1:2" x14ac:dyDescent="0.25">
      <c r="A1183" s="3">
        <v>1178</v>
      </c>
      <c r="B1183" s="3" t="str">
        <f>"00450205"</f>
        <v>00450205</v>
      </c>
    </row>
    <row r="1184" spans="1:2" x14ac:dyDescent="0.25">
      <c r="A1184" s="3">
        <v>1179</v>
      </c>
      <c r="B1184" s="3" t="str">
        <f>"00450288"</f>
        <v>00450288</v>
      </c>
    </row>
    <row r="1185" spans="1:2" x14ac:dyDescent="0.25">
      <c r="A1185" s="3">
        <v>1180</v>
      </c>
      <c r="B1185" s="3" t="str">
        <f>"00450319"</f>
        <v>00450319</v>
      </c>
    </row>
    <row r="1186" spans="1:2" x14ac:dyDescent="0.25">
      <c r="A1186" s="3">
        <v>1181</v>
      </c>
      <c r="B1186" s="3" t="str">
        <f>"00450431"</f>
        <v>00450431</v>
      </c>
    </row>
    <row r="1187" spans="1:2" x14ac:dyDescent="0.25">
      <c r="A1187" s="3">
        <v>1182</v>
      </c>
      <c r="B1187" s="3" t="str">
        <f>"00450451"</f>
        <v>00450451</v>
      </c>
    </row>
    <row r="1188" spans="1:2" x14ac:dyDescent="0.25">
      <c r="A1188" s="3">
        <v>1183</v>
      </c>
      <c r="B1188" s="3" t="str">
        <f>"00450730"</f>
        <v>00450730</v>
      </c>
    </row>
    <row r="1189" spans="1:2" x14ac:dyDescent="0.25">
      <c r="A1189" s="3">
        <v>1184</v>
      </c>
      <c r="B1189" s="3" t="str">
        <f>"00450850"</f>
        <v>00450850</v>
      </c>
    </row>
    <row r="1190" spans="1:2" x14ac:dyDescent="0.25">
      <c r="A1190" s="3">
        <v>1185</v>
      </c>
      <c r="B1190" s="3" t="str">
        <f>"00450894"</f>
        <v>00450894</v>
      </c>
    </row>
    <row r="1191" spans="1:2" x14ac:dyDescent="0.25">
      <c r="A1191" s="3">
        <v>1186</v>
      </c>
      <c r="B1191" s="3" t="str">
        <f>"00450898"</f>
        <v>00450898</v>
      </c>
    </row>
    <row r="1192" spans="1:2" x14ac:dyDescent="0.25">
      <c r="A1192" s="3">
        <v>1187</v>
      </c>
      <c r="B1192" s="3" t="str">
        <f>"00451881"</f>
        <v>00451881</v>
      </c>
    </row>
    <row r="1193" spans="1:2" x14ac:dyDescent="0.25">
      <c r="A1193" s="3">
        <v>1188</v>
      </c>
      <c r="B1193" s="3" t="str">
        <f>"00452623"</f>
        <v>00452623</v>
      </c>
    </row>
    <row r="1194" spans="1:2" x14ac:dyDescent="0.25">
      <c r="A1194" s="3">
        <v>1189</v>
      </c>
      <c r="B1194" s="3" t="str">
        <f>"00452653"</f>
        <v>00452653</v>
      </c>
    </row>
    <row r="1195" spans="1:2" x14ac:dyDescent="0.25">
      <c r="A1195" s="3">
        <v>1190</v>
      </c>
      <c r="B1195" s="3" t="str">
        <f>"00452931"</f>
        <v>00452931</v>
      </c>
    </row>
    <row r="1196" spans="1:2" x14ac:dyDescent="0.25">
      <c r="A1196" s="3">
        <v>1191</v>
      </c>
      <c r="B1196" s="3" t="str">
        <f>"00452972"</f>
        <v>00452972</v>
      </c>
    </row>
    <row r="1197" spans="1:2" x14ac:dyDescent="0.25">
      <c r="A1197" s="3">
        <v>1192</v>
      </c>
      <c r="B1197" s="3" t="str">
        <f>"00453094"</f>
        <v>00453094</v>
      </c>
    </row>
    <row r="1198" spans="1:2" x14ac:dyDescent="0.25">
      <c r="A1198" s="3">
        <v>1193</v>
      </c>
      <c r="B1198" s="3" t="str">
        <f>"00453121"</f>
        <v>00453121</v>
      </c>
    </row>
    <row r="1199" spans="1:2" x14ac:dyDescent="0.25">
      <c r="A1199" s="3">
        <v>1194</v>
      </c>
      <c r="B1199" s="3" t="str">
        <f>"00453224"</f>
        <v>00453224</v>
      </c>
    </row>
    <row r="1200" spans="1:2" x14ac:dyDescent="0.25">
      <c r="A1200" s="3">
        <v>1195</v>
      </c>
      <c r="B1200" s="3" t="str">
        <f>"00453255"</f>
        <v>00453255</v>
      </c>
    </row>
    <row r="1201" spans="1:2" x14ac:dyDescent="0.25">
      <c r="A1201" s="3">
        <v>1196</v>
      </c>
      <c r="B1201" s="3" t="str">
        <f>"00453396"</f>
        <v>00453396</v>
      </c>
    </row>
    <row r="1202" spans="1:2" x14ac:dyDescent="0.25">
      <c r="A1202" s="3">
        <v>1197</v>
      </c>
      <c r="B1202" s="3" t="str">
        <f>"00453502"</f>
        <v>00453502</v>
      </c>
    </row>
    <row r="1203" spans="1:2" x14ac:dyDescent="0.25">
      <c r="A1203" s="3">
        <v>1198</v>
      </c>
      <c r="B1203" s="3" t="str">
        <f>"00453542"</f>
        <v>00453542</v>
      </c>
    </row>
    <row r="1204" spans="1:2" x14ac:dyDescent="0.25">
      <c r="A1204" s="3">
        <v>1199</v>
      </c>
      <c r="B1204" s="3" t="str">
        <f>"00453570"</f>
        <v>00453570</v>
      </c>
    </row>
    <row r="1205" spans="1:2" x14ac:dyDescent="0.25">
      <c r="A1205" s="3">
        <v>1200</v>
      </c>
      <c r="B1205" s="3" t="str">
        <f>"00453742"</f>
        <v>00453742</v>
      </c>
    </row>
    <row r="1206" spans="1:2" x14ac:dyDescent="0.25">
      <c r="A1206" s="3">
        <v>1201</v>
      </c>
      <c r="B1206" s="3" t="str">
        <f>"00453902"</f>
        <v>00453902</v>
      </c>
    </row>
    <row r="1207" spans="1:2" x14ac:dyDescent="0.25">
      <c r="A1207" s="3">
        <v>1202</v>
      </c>
      <c r="B1207" s="3" t="str">
        <f>"00454001"</f>
        <v>00454001</v>
      </c>
    </row>
    <row r="1208" spans="1:2" x14ac:dyDescent="0.25">
      <c r="A1208" s="3">
        <v>1203</v>
      </c>
      <c r="B1208" s="3" t="str">
        <f>"00454190"</f>
        <v>00454190</v>
      </c>
    </row>
    <row r="1209" spans="1:2" x14ac:dyDescent="0.25">
      <c r="A1209" s="3">
        <v>1204</v>
      </c>
      <c r="B1209" s="3" t="str">
        <f>"00454579"</f>
        <v>00454579</v>
      </c>
    </row>
    <row r="1210" spans="1:2" x14ac:dyDescent="0.25">
      <c r="A1210" s="3">
        <v>1205</v>
      </c>
      <c r="B1210" s="3" t="str">
        <f>"00454728"</f>
        <v>00454728</v>
      </c>
    </row>
    <row r="1211" spans="1:2" x14ac:dyDescent="0.25">
      <c r="A1211" s="3">
        <v>1206</v>
      </c>
      <c r="B1211" s="3" t="str">
        <f>"00454879"</f>
        <v>00454879</v>
      </c>
    </row>
    <row r="1212" spans="1:2" x14ac:dyDescent="0.25">
      <c r="A1212" s="3">
        <v>1207</v>
      </c>
      <c r="B1212" s="3" t="str">
        <f>"00454891"</f>
        <v>00454891</v>
      </c>
    </row>
    <row r="1213" spans="1:2" x14ac:dyDescent="0.25">
      <c r="A1213" s="3">
        <v>1208</v>
      </c>
      <c r="B1213" s="3" t="str">
        <f>"00455128"</f>
        <v>00455128</v>
      </c>
    </row>
    <row r="1214" spans="1:2" x14ac:dyDescent="0.25">
      <c r="A1214" s="3">
        <v>1209</v>
      </c>
      <c r="B1214" s="3" t="str">
        <f>"00455180"</f>
        <v>00455180</v>
      </c>
    </row>
    <row r="1215" spans="1:2" x14ac:dyDescent="0.25">
      <c r="A1215" s="3">
        <v>1210</v>
      </c>
      <c r="B1215" s="3" t="str">
        <f>"00455618"</f>
        <v>00455618</v>
      </c>
    </row>
    <row r="1216" spans="1:2" x14ac:dyDescent="0.25">
      <c r="A1216" s="3">
        <v>1211</v>
      </c>
      <c r="B1216" s="3" t="str">
        <f>"00455831"</f>
        <v>00455831</v>
      </c>
    </row>
    <row r="1217" spans="1:2" x14ac:dyDescent="0.25">
      <c r="A1217" s="3">
        <v>1212</v>
      </c>
      <c r="B1217" s="3" t="str">
        <f>"00457120"</f>
        <v>00457120</v>
      </c>
    </row>
    <row r="1218" spans="1:2" x14ac:dyDescent="0.25">
      <c r="A1218" s="3">
        <v>1213</v>
      </c>
      <c r="B1218" s="3" t="str">
        <f>"00457428"</f>
        <v>00457428</v>
      </c>
    </row>
    <row r="1219" spans="1:2" x14ac:dyDescent="0.25">
      <c r="A1219" s="3">
        <v>1214</v>
      </c>
      <c r="B1219" s="3" t="str">
        <f>"00457615"</f>
        <v>00457615</v>
      </c>
    </row>
    <row r="1220" spans="1:2" x14ac:dyDescent="0.25">
      <c r="A1220" s="3">
        <v>1215</v>
      </c>
      <c r="B1220" s="3" t="str">
        <f>"00458294"</f>
        <v>00458294</v>
      </c>
    </row>
    <row r="1221" spans="1:2" x14ac:dyDescent="0.25">
      <c r="A1221" s="3">
        <v>1216</v>
      </c>
      <c r="B1221" s="3" t="str">
        <f>"00458577"</f>
        <v>00458577</v>
      </c>
    </row>
    <row r="1222" spans="1:2" x14ac:dyDescent="0.25">
      <c r="A1222" s="3">
        <v>1217</v>
      </c>
      <c r="B1222" s="3" t="str">
        <f>"00458696"</f>
        <v>00458696</v>
      </c>
    </row>
    <row r="1223" spans="1:2" x14ac:dyDescent="0.25">
      <c r="A1223" s="3">
        <v>1218</v>
      </c>
      <c r="B1223" s="3" t="str">
        <f>"00458728"</f>
        <v>00458728</v>
      </c>
    </row>
    <row r="1224" spans="1:2" x14ac:dyDescent="0.25">
      <c r="A1224" s="3">
        <v>1219</v>
      </c>
      <c r="B1224" s="3" t="str">
        <f>"00458770"</f>
        <v>00458770</v>
      </c>
    </row>
    <row r="1225" spans="1:2" x14ac:dyDescent="0.25">
      <c r="A1225" s="3">
        <v>1220</v>
      </c>
      <c r="B1225" s="3" t="str">
        <f>"00459061"</f>
        <v>00459061</v>
      </c>
    </row>
    <row r="1226" spans="1:2" x14ac:dyDescent="0.25">
      <c r="A1226" s="3">
        <v>1221</v>
      </c>
      <c r="B1226" s="3" t="str">
        <f>"00459288"</f>
        <v>00459288</v>
      </c>
    </row>
    <row r="1227" spans="1:2" x14ac:dyDescent="0.25">
      <c r="A1227" s="3">
        <v>1222</v>
      </c>
      <c r="B1227" s="3" t="str">
        <f>"00459330"</f>
        <v>00459330</v>
      </c>
    </row>
    <row r="1228" spans="1:2" x14ac:dyDescent="0.25">
      <c r="A1228" s="3">
        <v>1223</v>
      </c>
      <c r="B1228" s="3" t="str">
        <f>"00459406"</f>
        <v>00459406</v>
      </c>
    </row>
    <row r="1229" spans="1:2" x14ac:dyDescent="0.25">
      <c r="A1229" s="3">
        <v>1224</v>
      </c>
      <c r="B1229" s="3" t="str">
        <f>"00459524"</f>
        <v>00459524</v>
      </c>
    </row>
    <row r="1230" spans="1:2" x14ac:dyDescent="0.25">
      <c r="A1230" s="3">
        <v>1225</v>
      </c>
      <c r="B1230" s="3" t="str">
        <f>"00459561"</f>
        <v>00459561</v>
      </c>
    </row>
    <row r="1231" spans="1:2" x14ac:dyDescent="0.25">
      <c r="A1231" s="3">
        <v>1226</v>
      </c>
      <c r="B1231" s="3" t="str">
        <f>"00459600"</f>
        <v>00459600</v>
      </c>
    </row>
    <row r="1232" spans="1:2" x14ac:dyDescent="0.25">
      <c r="A1232" s="3">
        <v>1227</v>
      </c>
      <c r="B1232" s="3" t="str">
        <f>"00459941"</f>
        <v>00459941</v>
      </c>
    </row>
    <row r="1233" spans="1:2" x14ac:dyDescent="0.25">
      <c r="A1233" s="3">
        <v>1228</v>
      </c>
      <c r="B1233" s="3" t="str">
        <f>"00461025"</f>
        <v>00461025</v>
      </c>
    </row>
    <row r="1234" spans="1:2" x14ac:dyDescent="0.25">
      <c r="A1234" s="3">
        <v>1229</v>
      </c>
      <c r="B1234" s="3" t="str">
        <f>"00461086"</f>
        <v>00461086</v>
      </c>
    </row>
    <row r="1235" spans="1:2" x14ac:dyDescent="0.25">
      <c r="A1235" s="3">
        <v>1230</v>
      </c>
      <c r="B1235" s="3" t="str">
        <f>"00461346"</f>
        <v>00461346</v>
      </c>
    </row>
    <row r="1236" spans="1:2" x14ac:dyDescent="0.25">
      <c r="A1236" s="3">
        <v>1231</v>
      </c>
      <c r="B1236" s="3" t="str">
        <f>"00462683"</f>
        <v>00462683</v>
      </c>
    </row>
    <row r="1237" spans="1:2" x14ac:dyDescent="0.25">
      <c r="A1237" s="3">
        <v>1232</v>
      </c>
      <c r="B1237" s="3" t="str">
        <f>"00462861"</f>
        <v>00462861</v>
      </c>
    </row>
    <row r="1238" spans="1:2" x14ac:dyDescent="0.25">
      <c r="A1238" s="3">
        <v>1233</v>
      </c>
      <c r="B1238" s="3" t="str">
        <f>"00463071"</f>
        <v>00463071</v>
      </c>
    </row>
    <row r="1239" spans="1:2" x14ac:dyDescent="0.25">
      <c r="A1239" s="3">
        <v>1234</v>
      </c>
      <c r="B1239" s="3" t="str">
        <f>"00463225"</f>
        <v>00463225</v>
      </c>
    </row>
    <row r="1240" spans="1:2" x14ac:dyDescent="0.25">
      <c r="A1240" s="3">
        <v>1235</v>
      </c>
      <c r="B1240" s="3" t="str">
        <f>"00463352"</f>
        <v>00463352</v>
      </c>
    </row>
    <row r="1241" spans="1:2" x14ac:dyDescent="0.25">
      <c r="A1241" s="3">
        <v>1236</v>
      </c>
      <c r="B1241" s="3" t="str">
        <f>"00463563"</f>
        <v>00463563</v>
      </c>
    </row>
    <row r="1242" spans="1:2" x14ac:dyDescent="0.25">
      <c r="A1242" s="3">
        <v>1237</v>
      </c>
      <c r="B1242" s="3" t="str">
        <f>"00463610"</f>
        <v>00463610</v>
      </c>
    </row>
    <row r="1243" spans="1:2" x14ac:dyDescent="0.25">
      <c r="A1243" s="3">
        <v>1238</v>
      </c>
      <c r="B1243" s="3" t="str">
        <f>"00463629"</f>
        <v>00463629</v>
      </c>
    </row>
    <row r="1244" spans="1:2" x14ac:dyDescent="0.25">
      <c r="A1244" s="3">
        <v>1239</v>
      </c>
      <c r="B1244" s="3" t="str">
        <f>"00464248"</f>
        <v>00464248</v>
      </c>
    </row>
    <row r="1245" spans="1:2" x14ac:dyDescent="0.25">
      <c r="A1245" s="3">
        <v>1240</v>
      </c>
      <c r="B1245" s="3" t="str">
        <f>"00464509"</f>
        <v>00464509</v>
      </c>
    </row>
    <row r="1246" spans="1:2" x14ac:dyDescent="0.25">
      <c r="A1246" s="3">
        <v>1241</v>
      </c>
      <c r="B1246" s="3" t="str">
        <f>"00464847"</f>
        <v>00464847</v>
      </c>
    </row>
    <row r="1247" spans="1:2" x14ac:dyDescent="0.25">
      <c r="A1247" s="3">
        <v>1242</v>
      </c>
      <c r="B1247" s="3" t="str">
        <f>"00465020"</f>
        <v>00465020</v>
      </c>
    </row>
    <row r="1248" spans="1:2" x14ac:dyDescent="0.25">
      <c r="A1248" s="3">
        <v>1243</v>
      </c>
      <c r="B1248" s="3" t="str">
        <f>"00465130"</f>
        <v>00465130</v>
      </c>
    </row>
    <row r="1249" spans="1:2" x14ac:dyDescent="0.25">
      <c r="A1249" s="3">
        <v>1244</v>
      </c>
      <c r="B1249" s="3" t="str">
        <f>"00465136"</f>
        <v>00465136</v>
      </c>
    </row>
    <row r="1250" spans="1:2" x14ac:dyDescent="0.25">
      <c r="A1250" s="3">
        <v>1245</v>
      </c>
      <c r="B1250" s="3" t="str">
        <f>"00465415"</f>
        <v>00465415</v>
      </c>
    </row>
    <row r="1251" spans="1:2" x14ac:dyDescent="0.25">
      <c r="A1251" s="3">
        <v>1246</v>
      </c>
      <c r="B1251" s="3" t="str">
        <f>"00465427"</f>
        <v>00465427</v>
      </c>
    </row>
    <row r="1252" spans="1:2" x14ac:dyDescent="0.25">
      <c r="A1252" s="3">
        <v>1247</v>
      </c>
      <c r="B1252" s="3" t="str">
        <f>"00465647"</f>
        <v>00465647</v>
      </c>
    </row>
    <row r="1253" spans="1:2" x14ac:dyDescent="0.25">
      <c r="A1253" s="3">
        <v>1248</v>
      </c>
      <c r="B1253" s="3" t="str">
        <f>"00465702"</f>
        <v>00465702</v>
      </c>
    </row>
    <row r="1254" spans="1:2" x14ac:dyDescent="0.25">
      <c r="A1254" s="3">
        <v>1249</v>
      </c>
      <c r="B1254" s="3" t="str">
        <f>"00465889"</f>
        <v>00465889</v>
      </c>
    </row>
    <row r="1255" spans="1:2" x14ac:dyDescent="0.25">
      <c r="A1255" s="3">
        <v>1250</v>
      </c>
      <c r="B1255" s="3" t="str">
        <f>"00465985"</f>
        <v>00465985</v>
      </c>
    </row>
    <row r="1256" spans="1:2" x14ac:dyDescent="0.25">
      <c r="A1256" s="3">
        <v>1251</v>
      </c>
      <c r="B1256" s="3" t="str">
        <f>"00466331"</f>
        <v>00466331</v>
      </c>
    </row>
    <row r="1257" spans="1:2" x14ac:dyDescent="0.25">
      <c r="A1257" s="3">
        <v>1252</v>
      </c>
      <c r="B1257" s="3" t="str">
        <f>"00467125"</f>
        <v>00467125</v>
      </c>
    </row>
    <row r="1258" spans="1:2" x14ac:dyDescent="0.25">
      <c r="A1258" s="3">
        <v>1253</v>
      </c>
      <c r="B1258" s="3" t="str">
        <f>"00467460"</f>
        <v>00467460</v>
      </c>
    </row>
    <row r="1259" spans="1:2" x14ac:dyDescent="0.25">
      <c r="A1259" s="3">
        <v>1254</v>
      </c>
      <c r="B1259" s="3" t="str">
        <f>"00467790"</f>
        <v>00467790</v>
      </c>
    </row>
    <row r="1260" spans="1:2" x14ac:dyDescent="0.25">
      <c r="A1260" s="3">
        <v>1255</v>
      </c>
      <c r="B1260" s="3" t="str">
        <f>"00467843"</f>
        <v>00467843</v>
      </c>
    </row>
    <row r="1261" spans="1:2" x14ac:dyDescent="0.25">
      <c r="A1261" s="3">
        <v>1256</v>
      </c>
      <c r="B1261" s="3" t="str">
        <f>"00468728"</f>
        <v>00468728</v>
      </c>
    </row>
    <row r="1262" spans="1:2" x14ac:dyDescent="0.25">
      <c r="A1262" s="3">
        <v>1257</v>
      </c>
      <c r="B1262" s="3" t="str">
        <f>"00468964"</f>
        <v>00468964</v>
      </c>
    </row>
    <row r="1263" spans="1:2" x14ac:dyDescent="0.25">
      <c r="A1263" s="3">
        <v>1258</v>
      </c>
      <c r="B1263" s="3" t="str">
        <f>"00468971"</f>
        <v>00468971</v>
      </c>
    </row>
    <row r="1264" spans="1:2" x14ac:dyDescent="0.25">
      <c r="A1264" s="3">
        <v>1259</v>
      </c>
      <c r="B1264" s="3" t="str">
        <f>"00468977"</f>
        <v>00468977</v>
      </c>
    </row>
    <row r="1265" spans="1:2" x14ac:dyDescent="0.25">
      <c r="A1265" s="3">
        <v>1260</v>
      </c>
      <c r="B1265" s="3" t="str">
        <f>"00469079"</f>
        <v>00469079</v>
      </c>
    </row>
    <row r="1266" spans="1:2" x14ac:dyDescent="0.25">
      <c r="A1266" s="3">
        <v>1261</v>
      </c>
      <c r="B1266" s="3" t="str">
        <f>"00469180"</f>
        <v>00469180</v>
      </c>
    </row>
    <row r="1267" spans="1:2" x14ac:dyDescent="0.25">
      <c r="A1267" s="3">
        <v>1262</v>
      </c>
      <c r="B1267" s="3" t="str">
        <f>"00469239"</f>
        <v>00469239</v>
      </c>
    </row>
    <row r="1268" spans="1:2" x14ac:dyDescent="0.25">
      <c r="A1268" s="3">
        <v>1263</v>
      </c>
      <c r="B1268" s="3" t="str">
        <f>"00469281"</f>
        <v>00469281</v>
      </c>
    </row>
    <row r="1269" spans="1:2" x14ac:dyDescent="0.25">
      <c r="A1269" s="3">
        <v>1264</v>
      </c>
      <c r="B1269" s="3" t="str">
        <f>"00469654"</f>
        <v>00469654</v>
      </c>
    </row>
    <row r="1270" spans="1:2" x14ac:dyDescent="0.25">
      <c r="A1270" s="3">
        <v>1265</v>
      </c>
      <c r="B1270" s="3" t="str">
        <f>"00469734"</f>
        <v>00469734</v>
      </c>
    </row>
    <row r="1271" spans="1:2" x14ac:dyDescent="0.25">
      <c r="A1271" s="3">
        <v>1266</v>
      </c>
      <c r="B1271" s="3" t="str">
        <f>"00469826"</f>
        <v>00469826</v>
      </c>
    </row>
    <row r="1272" spans="1:2" x14ac:dyDescent="0.25">
      <c r="A1272" s="3">
        <v>1267</v>
      </c>
      <c r="B1272" s="3" t="str">
        <f>"00469850"</f>
        <v>00469850</v>
      </c>
    </row>
    <row r="1273" spans="1:2" x14ac:dyDescent="0.25">
      <c r="A1273" s="3">
        <v>1268</v>
      </c>
      <c r="B1273" s="3" t="str">
        <f>"00469865"</f>
        <v>00469865</v>
      </c>
    </row>
    <row r="1274" spans="1:2" x14ac:dyDescent="0.25">
      <c r="A1274" s="3">
        <v>1269</v>
      </c>
      <c r="B1274" s="3" t="str">
        <f>"00469910"</f>
        <v>00469910</v>
      </c>
    </row>
    <row r="1275" spans="1:2" x14ac:dyDescent="0.25">
      <c r="A1275" s="3">
        <v>1270</v>
      </c>
      <c r="B1275" s="3" t="str">
        <f>"00469914"</f>
        <v>00469914</v>
      </c>
    </row>
    <row r="1276" spans="1:2" x14ac:dyDescent="0.25">
      <c r="A1276" s="3">
        <v>1271</v>
      </c>
      <c r="B1276" s="3" t="str">
        <f>"00469939"</f>
        <v>00469939</v>
      </c>
    </row>
    <row r="1277" spans="1:2" x14ac:dyDescent="0.25">
      <c r="A1277" s="3">
        <v>1272</v>
      </c>
      <c r="B1277" s="3" t="str">
        <f>"00470279"</f>
        <v>00470279</v>
      </c>
    </row>
    <row r="1278" spans="1:2" x14ac:dyDescent="0.25">
      <c r="A1278" s="3">
        <v>1273</v>
      </c>
      <c r="B1278" s="3" t="str">
        <f>"00470330"</f>
        <v>00470330</v>
      </c>
    </row>
    <row r="1279" spans="1:2" x14ac:dyDescent="0.25">
      <c r="A1279" s="3">
        <v>1274</v>
      </c>
      <c r="B1279" s="3" t="str">
        <f>"00470363"</f>
        <v>00470363</v>
      </c>
    </row>
    <row r="1280" spans="1:2" x14ac:dyDescent="0.25">
      <c r="A1280" s="3">
        <v>1275</v>
      </c>
      <c r="B1280" s="3" t="str">
        <f>"00470373"</f>
        <v>00470373</v>
      </c>
    </row>
    <row r="1281" spans="1:2" x14ac:dyDescent="0.25">
      <c r="A1281" s="3">
        <v>1276</v>
      </c>
      <c r="B1281" s="3" t="str">
        <f>"00470431"</f>
        <v>00470431</v>
      </c>
    </row>
    <row r="1282" spans="1:2" x14ac:dyDescent="0.25">
      <c r="A1282" s="3">
        <v>1277</v>
      </c>
      <c r="B1282" s="3" t="str">
        <f>"00470456"</f>
        <v>00470456</v>
      </c>
    </row>
    <row r="1283" spans="1:2" x14ac:dyDescent="0.25">
      <c r="A1283" s="3">
        <v>1278</v>
      </c>
      <c r="B1283" s="3" t="str">
        <f>"00470511"</f>
        <v>00470511</v>
      </c>
    </row>
    <row r="1284" spans="1:2" x14ac:dyDescent="0.25">
      <c r="A1284" s="3">
        <v>1279</v>
      </c>
      <c r="B1284" s="3" t="str">
        <f>"00470703"</f>
        <v>00470703</v>
      </c>
    </row>
    <row r="1285" spans="1:2" x14ac:dyDescent="0.25">
      <c r="A1285" s="3">
        <v>1280</v>
      </c>
      <c r="B1285" s="3" t="str">
        <f>"00470784"</f>
        <v>00470784</v>
      </c>
    </row>
    <row r="1286" spans="1:2" x14ac:dyDescent="0.25">
      <c r="A1286" s="3">
        <v>1281</v>
      </c>
      <c r="B1286" s="3" t="str">
        <f>"00470851"</f>
        <v>00470851</v>
      </c>
    </row>
    <row r="1287" spans="1:2" x14ac:dyDescent="0.25">
      <c r="A1287" s="3">
        <v>1282</v>
      </c>
      <c r="B1287" s="3" t="str">
        <f>"00470861"</f>
        <v>00470861</v>
      </c>
    </row>
    <row r="1288" spans="1:2" x14ac:dyDescent="0.25">
      <c r="A1288" s="3">
        <v>1283</v>
      </c>
      <c r="B1288" s="3" t="str">
        <f>"00470896"</f>
        <v>00470896</v>
      </c>
    </row>
    <row r="1289" spans="1:2" x14ac:dyDescent="0.25">
      <c r="A1289" s="3">
        <v>1284</v>
      </c>
      <c r="B1289" s="3" t="str">
        <f>"00470962"</f>
        <v>00470962</v>
      </c>
    </row>
    <row r="1290" spans="1:2" x14ac:dyDescent="0.25">
      <c r="A1290" s="3">
        <v>1285</v>
      </c>
      <c r="B1290" s="3" t="str">
        <f>"00471075"</f>
        <v>00471075</v>
      </c>
    </row>
    <row r="1291" spans="1:2" x14ac:dyDescent="0.25">
      <c r="A1291" s="3">
        <v>1286</v>
      </c>
      <c r="B1291" s="3" t="str">
        <f>"00471085"</f>
        <v>00471085</v>
      </c>
    </row>
    <row r="1292" spans="1:2" x14ac:dyDescent="0.25">
      <c r="A1292" s="3">
        <v>1287</v>
      </c>
      <c r="B1292" s="3" t="str">
        <f>"00471240"</f>
        <v>00471240</v>
      </c>
    </row>
    <row r="1293" spans="1:2" x14ac:dyDescent="0.25">
      <c r="A1293" s="3">
        <v>1288</v>
      </c>
      <c r="B1293" s="3" t="str">
        <f>"00471251"</f>
        <v>00471251</v>
      </c>
    </row>
    <row r="1294" spans="1:2" x14ac:dyDescent="0.25">
      <c r="A1294" s="3">
        <v>1289</v>
      </c>
      <c r="B1294" s="3" t="str">
        <f>"00471298"</f>
        <v>00471298</v>
      </c>
    </row>
    <row r="1295" spans="1:2" x14ac:dyDescent="0.25">
      <c r="A1295" s="3">
        <v>1290</v>
      </c>
      <c r="B1295" s="3" t="str">
        <f>"00471411"</f>
        <v>00471411</v>
      </c>
    </row>
    <row r="1296" spans="1:2" x14ac:dyDescent="0.25">
      <c r="A1296" s="3">
        <v>1291</v>
      </c>
      <c r="B1296" s="3" t="str">
        <f>"00471454"</f>
        <v>00471454</v>
      </c>
    </row>
    <row r="1297" spans="1:2" x14ac:dyDescent="0.25">
      <c r="A1297" s="3">
        <v>1292</v>
      </c>
      <c r="B1297" s="3" t="str">
        <f>"00471484"</f>
        <v>00471484</v>
      </c>
    </row>
    <row r="1298" spans="1:2" x14ac:dyDescent="0.25">
      <c r="A1298" s="3">
        <v>1293</v>
      </c>
      <c r="B1298" s="3" t="str">
        <f>"00471697"</f>
        <v>00471697</v>
      </c>
    </row>
    <row r="1299" spans="1:2" x14ac:dyDescent="0.25">
      <c r="A1299" s="3">
        <v>1294</v>
      </c>
      <c r="B1299" s="3" t="str">
        <f>"00471948"</f>
        <v>00471948</v>
      </c>
    </row>
    <row r="1300" spans="1:2" x14ac:dyDescent="0.25">
      <c r="A1300" s="3">
        <v>1295</v>
      </c>
      <c r="B1300" s="3" t="str">
        <f>"00472134"</f>
        <v>00472134</v>
      </c>
    </row>
    <row r="1301" spans="1:2" x14ac:dyDescent="0.25">
      <c r="A1301" s="3">
        <v>1296</v>
      </c>
      <c r="B1301" s="3" t="str">
        <f>"00472160"</f>
        <v>00472160</v>
      </c>
    </row>
    <row r="1302" spans="1:2" x14ac:dyDescent="0.25">
      <c r="A1302" s="3">
        <v>1297</v>
      </c>
      <c r="B1302" s="3" t="str">
        <f>"00472261"</f>
        <v>00472261</v>
      </c>
    </row>
    <row r="1303" spans="1:2" x14ac:dyDescent="0.25">
      <c r="A1303" s="3">
        <v>1298</v>
      </c>
      <c r="B1303" s="3" t="str">
        <f>"00472339"</f>
        <v>00472339</v>
      </c>
    </row>
    <row r="1304" spans="1:2" x14ac:dyDescent="0.25">
      <c r="A1304" s="3">
        <v>1299</v>
      </c>
      <c r="B1304" s="3" t="str">
        <f>"00472398"</f>
        <v>00472398</v>
      </c>
    </row>
    <row r="1305" spans="1:2" x14ac:dyDescent="0.25">
      <c r="A1305" s="3">
        <v>1300</v>
      </c>
      <c r="B1305" s="3" t="str">
        <f>"00473047"</f>
        <v>00473047</v>
      </c>
    </row>
    <row r="1306" spans="1:2" x14ac:dyDescent="0.25">
      <c r="A1306" s="3">
        <v>1301</v>
      </c>
      <c r="B1306" s="3" t="str">
        <f>"00473087"</f>
        <v>00473087</v>
      </c>
    </row>
    <row r="1307" spans="1:2" x14ac:dyDescent="0.25">
      <c r="A1307" s="3">
        <v>1302</v>
      </c>
      <c r="B1307" s="3" t="str">
        <f>"00473108"</f>
        <v>00473108</v>
      </c>
    </row>
    <row r="1308" spans="1:2" x14ac:dyDescent="0.25">
      <c r="A1308" s="3">
        <v>1303</v>
      </c>
      <c r="B1308" s="3" t="str">
        <f>"00473222"</f>
        <v>00473222</v>
      </c>
    </row>
    <row r="1309" spans="1:2" x14ac:dyDescent="0.25">
      <c r="A1309" s="3">
        <v>1304</v>
      </c>
      <c r="B1309" s="3" t="str">
        <f>"00473244"</f>
        <v>00473244</v>
      </c>
    </row>
    <row r="1310" spans="1:2" x14ac:dyDescent="0.25">
      <c r="A1310" s="3">
        <v>1305</v>
      </c>
      <c r="B1310" s="3" t="str">
        <f>"00473246"</f>
        <v>00473246</v>
      </c>
    </row>
    <row r="1311" spans="1:2" x14ac:dyDescent="0.25">
      <c r="A1311" s="3">
        <v>1306</v>
      </c>
      <c r="B1311" s="3" t="str">
        <f>"00473276"</f>
        <v>00473276</v>
      </c>
    </row>
    <row r="1312" spans="1:2" x14ac:dyDescent="0.25">
      <c r="A1312" s="3">
        <v>1307</v>
      </c>
      <c r="B1312" s="3" t="str">
        <f>"00473360"</f>
        <v>00473360</v>
      </c>
    </row>
    <row r="1313" spans="1:2" x14ac:dyDescent="0.25">
      <c r="A1313" s="3">
        <v>1308</v>
      </c>
      <c r="B1313" s="3" t="str">
        <f>"00473364"</f>
        <v>00473364</v>
      </c>
    </row>
    <row r="1314" spans="1:2" x14ac:dyDescent="0.25">
      <c r="A1314" s="3">
        <v>1309</v>
      </c>
      <c r="B1314" s="3" t="str">
        <f>"00473396"</f>
        <v>00473396</v>
      </c>
    </row>
    <row r="1315" spans="1:2" x14ac:dyDescent="0.25">
      <c r="A1315" s="3">
        <v>1310</v>
      </c>
      <c r="B1315" s="3" t="str">
        <f>"00473551"</f>
        <v>00473551</v>
      </c>
    </row>
    <row r="1316" spans="1:2" x14ac:dyDescent="0.25">
      <c r="A1316" s="3">
        <v>1311</v>
      </c>
      <c r="B1316" s="3" t="str">
        <f>"00473554"</f>
        <v>00473554</v>
      </c>
    </row>
    <row r="1317" spans="1:2" x14ac:dyDescent="0.25">
      <c r="A1317" s="3">
        <v>1312</v>
      </c>
      <c r="B1317" s="3" t="str">
        <f>"00473758"</f>
        <v>00473758</v>
      </c>
    </row>
    <row r="1318" spans="1:2" x14ac:dyDescent="0.25">
      <c r="A1318" s="3">
        <v>1313</v>
      </c>
      <c r="B1318" s="3" t="str">
        <f>"00473859"</f>
        <v>00473859</v>
      </c>
    </row>
    <row r="1319" spans="1:2" x14ac:dyDescent="0.25">
      <c r="A1319" s="3">
        <v>1314</v>
      </c>
      <c r="B1319" s="3" t="str">
        <f>"00473866"</f>
        <v>00473866</v>
      </c>
    </row>
    <row r="1320" spans="1:2" x14ac:dyDescent="0.25">
      <c r="A1320" s="3">
        <v>1315</v>
      </c>
      <c r="B1320" s="3" t="str">
        <f>"00473974"</f>
        <v>00473974</v>
      </c>
    </row>
    <row r="1321" spans="1:2" x14ac:dyDescent="0.25">
      <c r="A1321" s="3">
        <v>1316</v>
      </c>
      <c r="B1321" s="3" t="str">
        <f>"00474054"</f>
        <v>00474054</v>
      </c>
    </row>
    <row r="1322" spans="1:2" x14ac:dyDescent="0.25">
      <c r="A1322" s="3">
        <v>1317</v>
      </c>
      <c r="B1322" s="3" t="str">
        <f>"00474157"</f>
        <v>00474157</v>
      </c>
    </row>
    <row r="1323" spans="1:2" x14ac:dyDescent="0.25">
      <c r="A1323" s="3">
        <v>1318</v>
      </c>
      <c r="B1323" s="3" t="str">
        <f>"00474322"</f>
        <v>00474322</v>
      </c>
    </row>
    <row r="1324" spans="1:2" x14ac:dyDescent="0.25">
      <c r="A1324" s="3">
        <v>1319</v>
      </c>
      <c r="B1324" s="3" t="str">
        <f>"00474325"</f>
        <v>00474325</v>
      </c>
    </row>
    <row r="1325" spans="1:2" x14ac:dyDescent="0.25">
      <c r="A1325" s="3">
        <v>1320</v>
      </c>
      <c r="B1325" s="3" t="str">
        <f>"00474490"</f>
        <v>00474490</v>
      </c>
    </row>
    <row r="1326" spans="1:2" x14ac:dyDescent="0.25">
      <c r="A1326" s="3">
        <v>1321</v>
      </c>
      <c r="B1326" s="3" t="str">
        <f>"00474637"</f>
        <v>00474637</v>
      </c>
    </row>
    <row r="1327" spans="1:2" x14ac:dyDescent="0.25">
      <c r="A1327" s="3">
        <v>1322</v>
      </c>
      <c r="B1327" s="3" t="str">
        <f>"00474689"</f>
        <v>00474689</v>
      </c>
    </row>
    <row r="1328" spans="1:2" x14ac:dyDescent="0.25">
      <c r="A1328" s="3">
        <v>1323</v>
      </c>
      <c r="B1328" s="3" t="str">
        <f>"00474703"</f>
        <v>00474703</v>
      </c>
    </row>
    <row r="1329" spans="1:2" x14ac:dyDescent="0.25">
      <c r="A1329" s="3">
        <v>1324</v>
      </c>
      <c r="B1329" s="3" t="str">
        <f>"00474957"</f>
        <v>00474957</v>
      </c>
    </row>
    <row r="1330" spans="1:2" x14ac:dyDescent="0.25">
      <c r="A1330" s="3">
        <v>1325</v>
      </c>
      <c r="B1330" s="3" t="str">
        <f>"00475184"</f>
        <v>00475184</v>
      </c>
    </row>
    <row r="1331" spans="1:2" x14ac:dyDescent="0.25">
      <c r="A1331" s="3">
        <v>1326</v>
      </c>
      <c r="B1331" s="3" t="str">
        <f>"00475319"</f>
        <v>00475319</v>
      </c>
    </row>
    <row r="1332" spans="1:2" x14ac:dyDescent="0.25">
      <c r="A1332" s="3">
        <v>1327</v>
      </c>
      <c r="B1332" s="3" t="str">
        <f>"00475641"</f>
        <v>00475641</v>
      </c>
    </row>
    <row r="1333" spans="1:2" x14ac:dyDescent="0.25">
      <c r="A1333" s="3">
        <v>1328</v>
      </c>
      <c r="B1333" s="3" t="str">
        <f>"00475795"</f>
        <v>00475795</v>
      </c>
    </row>
    <row r="1334" spans="1:2" x14ac:dyDescent="0.25">
      <c r="A1334" s="3">
        <v>1329</v>
      </c>
      <c r="B1334" s="3" t="str">
        <f>"00476038"</f>
        <v>00476038</v>
      </c>
    </row>
    <row r="1335" spans="1:2" x14ac:dyDescent="0.25">
      <c r="A1335" s="3">
        <v>1330</v>
      </c>
      <c r="B1335" s="3" t="str">
        <f>"00476079"</f>
        <v>00476079</v>
      </c>
    </row>
    <row r="1336" spans="1:2" x14ac:dyDescent="0.25">
      <c r="A1336" s="3">
        <v>1331</v>
      </c>
      <c r="B1336" s="3" t="str">
        <f>"00476146"</f>
        <v>00476146</v>
      </c>
    </row>
    <row r="1337" spans="1:2" x14ac:dyDescent="0.25">
      <c r="A1337" s="3">
        <v>1332</v>
      </c>
      <c r="B1337" s="3" t="str">
        <f>"00476175"</f>
        <v>00476175</v>
      </c>
    </row>
    <row r="1338" spans="1:2" x14ac:dyDescent="0.25">
      <c r="A1338" s="3">
        <v>1333</v>
      </c>
      <c r="B1338" s="3" t="str">
        <f>"00476418"</f>
        <v>00476418</v>
      </c>
    </row>
    <row r="1339" spans="1:2" x14ac:dyDescent="0.25">
      <c r="A1339" s="3">
        <v>1334</v>
      </c>
      <c r="B1339" s="3" t="str">
        <f>"00476630"</f>
        <v>00476630</v>
      </c>
    </row>
    <row r="1340" spans="1:2" x14ac:dyDescent="0.25">
      <c r="A1340" s="3">
        <v>1335</v>
      </c>
      <c r="B1340" s="3" t="str">
        <f>"00476681"</f>
        <v>00476681</v>
      </c>
    </row>
    <row r="1341" spans="1:2" x14ac:dyDescent="0.25">
      <c r="A1341" s="3">
        <v>1336</v>
      </c>
      <c r="B1341" s="3" t="str">
        <f>"00476827"</f>
        <v>00476827</v>
      </c>
    </row>
    <row r="1342" spans="1:2" x14ac:dyDescent="0.25">
      <c r="A1342" s="3">
        <v>1337</v>
      </c>
      <c r="B1342" s="3" t="str">
        <f>"00476893"</f>
        <v>00476893</v>
      </c>
    </row>
    <row r="1343" spans="1:2" x14ac:dyDescent="0.25">
      <c r="A1343" s="3">
        <v>1338</v>
      </c>
      <c r="B1343" s="3" t="str">
        <f>"00476935"</f>
        <v>00476935</v>
      </c>
    </row>
    <row r="1344" spans="1:2" x14ac:dyDescent="0.25">
      <c r="A1344" s="3">
        <v>1339</v>
      </c>
      <c r="B1344" s="3" t="str">
        <f>"00477046"</f>
        <v>00477046</v>
      </c>
    </row>
    <row r="1345" spans="1:2" x14ac:dyDescent="0.25">
      <c r="A1345" s="3">
        <v>1340</v>
      </c>
      <c r="B1345" s="3" t="str">
        <f>"00477069"</f>
        <v>00477069</v>
      </c>
    </row>
    <row r="1346" spans="1:2" x14ac:dyDescent="0.25">
      <c r="A1346" s="3">
        <v>1341</v>
      </c>
      <c r="B1346" s="3" t="str">
        <f>"00477126"</f>
        <v>00477126</v>
      </c>
    </row>
    <row r="1347" spans="1:2" x14ac:dyDescent="0.25">
      <c r="A1347" s="3">
        <v>1342</v>
      </c>
      <c r="B1347" s="3" t="str">
        <f>"00477192"</f>
        <v>00477192</v>
      </c>
    </row>
    <row r="1348" spans="1:2" x14ac:dyDescent="0.25">
      <c r="A1348" s="3">
        <v>1343</v>
      </c>
      <c r="B1348" s="3" t="str">
        <f>"00477263"</f>
        <v>00477263</v>
      </c>
    </row>
    <row r="1349" spans="1:2" x14ac:dyDescent="0.25">
      <c r="A1349" s="3">
        <v>1344</v>
      </c>
      <c r="B1349" s="3" t="str">
        <f>"00477408"</f>
        <v>00477408</v>
      </c>
    </row>
    <row r="1350" spans="1:2" x14ac:dyDescent="0.25">
      <c r="A1350" s="3">
        <v>1345</v>
      </c>
      <c r="B1350" s="3" t="str">
        <f>"00477439"</f>
        <v>00477439</v>
      </c>
    </row>
    <row r="1351" spans="1:2" x14ac:dyDescent="0.25">
      <c r="A1351" s="3">
        <v>1346</v>
      </c>
      <c r="B1351" s="3" t="str">
        <f>"00477441"</f>
        <v>00477441</v>
      </c>
    </row>
    <row r="1352" spans="1:2" x14ac:dyDescent="0.25">
      <c r="A1352" s="3">
        <v>1347</v>
      </c>
      <c r="B1352" s="3" t="str">
        <f>"00477781"</f>
        <v>00477781</v>
      </c>
    </row>
    <row r="1353" spans="1:2" x14ac:dyDescent="0.25">
      <c r="A1353" s="3">
        <v>1348</v>
      </c>
      <c r="B1353" s="3" t="str">
        <f>"00477882"</f>
        <v>00477882</v>
      </c>
    </row>
    <row r="1354" spans="1:2" x14ac:dyDescent="0.25">
      <c r="A1354" s="3">
        <v>1349</v>
      </c>
      <c r="B1354" s="3" t="str">
        <f>"00477979"</f>
        <v>00477979</v>
      </c>
    </row>
    <row r="1355" spans="1:2" x14ac:dyDescent="0.25">
      <c r="A1355" s="3">
        <v>1350</v>
      </c>
      <c r="B1355" s="3" t="str">
        <f>"00478176"</f>
        <v>00478176</v>
      </c>
    </row>
    <row r="1356" spans="1:2" x14ac:dyDescent="0.25">
      <c r="A1356" s="3">
        <v>1351</v>
      </c>
      <c r="B1356" s="3" t="str">
        <f>"00478319"</f>
        <v>00478319</v>
      </c>
    </row>
    <row r="1357" spans="1:2" x14ac:dyDescent="0.25">
      <c r="A1357" s="3">
        <v>1352</v>
      </c>
      <c r="B1357" s="3" t="str">
        <f>"00478330"</f>
        <v>00478330</v>
      </c>
    </row>
    <row r="1358" spans="1:2" x14ac:dyDescent="0.25">
      <c r="A1358" s="3">
        <v>1353</v>
      </c>
      <c r="B1358" s="3" t="str">
        <f>"00478904"</f>
        <v>00478904</v>
      </c>
    </row>
    <row r="1359" spans="1:2" x14ac:dyDescent="0.25">
      <c r="A1359" s="3">
        <v>1354</v>
      </c>
      <c r="B1359" s="3" t="str">
        <f>"00478919"</f>
        <v>00478919</v>
      </c>
    </row>
    <row r="1360" spans="1:2" x14ac:dyDescent="0.25">
      <c r="A1360" s="3">
        <v>1355</v>
      </c>
      <c r="B1360" s="3" t="str">
        <f>"00479050"</f>
        <v>00479050</v>
      </c>
    </row>
    <row r="1361" spans="1:2" x14ac:dyDescent="0.25">
      <c r="A1361" s="3">
        <v>1356</v>
      </c>
      <c r="B1361" s="3" t="str">
        <f>"00479104"</f>
        <v>00479104</v>
      </c>
    </row>
    <row r="1362" spans="1:2" x14ac:dyDescent="0.25">
      <c r="A1362" s="3">
        <v>1357</v>
      </c>
      <c r="B1362" s="3" t="str">
        <f>"00479285"</f>
        <v>00479285</v>
      </c>
    </row>
    <row r="1363" spans="1:2" x14ac:dyDescent="0.25">
      <c r="A1363" s="3">
        <v>1358</v>
      </c>
      <c r="B1363" s="3" t="str">
        <f>"00479840"</f>
        <v>00479840</v>
      </c>
    </row>
    <row r="1364" spans="1:2" x14ac:dyDescent="0.25">
      <c r="A1364" s="3">
        <v>1359</v>
      </c>
      <c r="B1364" s="3" t="str">
        <f>"00480001"</f>
        <v>00480001</v>
      </c>
    </row>
    <row r="1365" spans="1:2" x14ac:dyDescent="0.25">
      <c r="A1365" s="3">
        <v>1360</v>
      </c>
      <c r="B1365" s="3" t="str">
        <f>"00480004"</f>
        <v>00480004</v>
      </c>
    </row>
    <row r="1366" spans="1:2" x14ac:dyDescent="0.25">
      <c r="A1366" s="3">
        <v>1361</v>
      </c>
      <c r="B1366" s="3" t="str">
        <f>"00480184"</f>
        <v>00480184</v>
      </c>
    </row>
    <row r="1367" spans="1:2" x14ac:dyDescent="0.25">
      <c r="A1367" s="3">
        <v>1362</v>
      </c>
      <c r="B1367" s="3" t="str">
        <f>"00480223"</f>
        <v>00480223</v>
      </c>
    </row>
    <row r="1368" spans="1:2" x14ac:dyDescent="0.25">
      <c r="A1368" s="3">
        <v>1363</v>
      </c>
      <c r="B1368" s="3" t="str">
        <f>"00480742"</f>
        <v>00480742</v>
      </c>
    </row>
    <row r="1369" spans="1:2" x14ac:dyDescent="0.25">
      <c r="A1369" s="3">
        <v>1364</v>
      </c>
      <c r="B1369" s="3" t="str">
        <f>"00480750"</f>
        <v>00480750</v>
      </c>
    </row>
    <row r="1370" spans="1:2" x14ac:dyDescent="0.25">
      <c r="A1370" s="3">
        <v>1365</v>
      </c>
      <c r="B1370" s="3" t="str">
        <f>"00480790"</f>
        <v>00480790</v>
      </c>
    </row>
    <row r="1371" spans="1:2" x14ac:dyDescent="0.25">
      <c r="A1371" s="3">
        <v>1366</v>
      </c>
      <c r="B1371" s="3" t="str">
        <f>"00480977"</f>
        <v>00480977</v>
      </c>
    </row>
    <row r="1372" spans="1:2" x14ac:dyDescent="0.25">
      <c r="A1372" s="3">
        <v>1367</v>
      </c>
      <c r="B1372" s="3" t="str">
        <f>"00481011"</f>
        <v>00481011</v>
      </c>
    </row>
    <row r="1373" spans="1:2" x14ac:dyDescent="0.25">
      <c r="A1373" s="3">
        <v>1368</v>
      </c>
      <c r="B1373" s="3" t="str">
        <f>"00481056"</f>
        <v>00481056</v>
      </c>
    </row>
    <row r="1374" spans="1:2" x14ac:dyDescent="0.25">
      <c r="A1374" s="3">
        <v>1369</v>
      </c>
      <c r="B1374" s="3" t="str">
        <f>"00481543"</f>
        <v>00481543</v>
      </c>
    </row>
    <row r="1375" spans="1:2" x14ac:dyDescent="0.25">
      <c r="A1375" s="3">
        <v>1370</v>
      </c>
      <c r="B1375" s="3" t="str">
        <f>"00481910"</f>
        <v>00481910</v>
      </c>
    </row>
    <row r="1376" spans="1:2" x14ac:dyDescent="0.25">
      <c r="A1376" s="3">
        <v>1371</v>
      </c>
      <c r="B1376" s="3" t="str">
        <f>"00482104"</f>
        <v>00482104</v>
      </c>
    </row>
    <row r="1377" spans="1:2" x14ac:dyDescent="0.25">
      <c r="A1377" s="3">
        <v>1372</v>
      </c>
      <c r="B1377" s="3" t="str">
        <f>"00482674"</f>
        <v>00482674</v>
      </c>
    </row>
    <row r="1378" spans="1:2" x14ac:dyDescent="0.25">
      <c r="A1378" s="3">
        <v>1373</v>
      </c>
      <c r="B1378" s="3" t="str">
        <f>"00482988"</f>
        <v>00482988</v>
      </c>
    </row>
    <row r="1379" spans="1:2" x14ac:dyDescent="0.25">
      <c r="A1379" s="3">
        <v>1374</v>
      </c>
      <c r="B1379" s="3" t="str">
        <f>"00483068"</f>
        <v>00483068</v>
      </c>
    </row>
    <row r="1380" spans="1:2" x14ac:dyDescent="0.25">
      <c r="A1380" s="3">
        <v>1375</v>
      </c>
      <c r="B1380" s="3" t="str">
        <f>"00483170"</f>
        <v>00483170</v>
      </c>
    </row>
    <row r="1381" spans="1:2" x14ac:dyDescent="0.25">
      <c r="A1381" s="3">
        <v>1376</v>
      </c>
      <c r="B1381" s="3" t="str">
        <f>"00483197"</f>
        <v>00483197</v>
      </c>
    </row>
    <row r="1382" spans="1:2" x14ac:dyDescent="0.25">
      <c r="A1382" s="3">
        <v>1377</v>
      </c>
      <c r="B1382" s="3" t="str">
        <f>"00483489"</f>
        <v>00483489</v>
      </c>
    </row>
    <row r="1383" spans="1:2" x14ac:dyDescent="0.25">
      <c r="A1383" s="3">
        <v>1378</v>
      </c>
      <c r="B1383" s="3" t="str">
        <f>"00483550"</f>
        <v>00483550</v>
      </c>
    </row>
    <row r="1384" spans="1:2" x14ac:dyDescent="0.25">
      <c r="A1384" s="3">
        <v>1379</v>
      </c>
      <c r="B1384" s="3" t="str">
        <f>"00483581"</f>
        <v>00483581</v>
      </c>
    </row>
    <row r="1385" spans="1:2" x14ac:dyDescent="0.25">
      <c r="A1385" s="3">
        <v>1380</v>
      </c>
      <c r="B1385" s="3" t="str">
        <f>"00483787"</f>
        <v>00483787</v>
      </c>
    </row>
    <row r="1386" spans="1:2" x14ac:dyDescent="0.25">
      <c r="A1386" s="3">
        <v>1381</v>
      </c>
      <c r="B1386" s="3" t="str">
        <f>"00484021"</f>
        <v>00484021</v>
      </c>
    </row>
    <row r="1387" spans="1:2" x14ac:dyDescent="0.25">
      <c r="A1387" s="3">
        <v>1382</v>
      </c>
      <c r="B1387" s="3" t="str">
        <f>"00484193"</f>
        <v>00484193</v>
      </c>
    </row>
    <row r="1388" spans="1:2" x14ac:dyDescent="0.25">
      <c r="A1388" s="3">
        <v>1383</v>
      </c>
      <c r="B1388" s="3" t="str">
        <f>"00484557"</f>
        <v>00484557</v>
      </c>
    </row>
    <row r="1389" spans="1:2" x14ac:dyDescent="0.25">
      <c r="A1389" s="3">
        <v>1384</v>
      </c>
      <c r="B1389" s="3" t="str">
        <f>"00484632"</f>
        <v>00484632</v>
      </c>
    </row>
    <row r="1390" spans="1:2" x14ac:dyDescent="0.25">
      <c r="A1390" s="3">
        <v>1385</v>
      </c>
      <c r="B1390" s="3" t="str">
        <f>"00484838"</f>
        <v>00484838</v>
      </c>
    </row>
    <row r="1391" spans="1:2" x14ac:dyDescent="0.25">
      <c r="A1391" s="3">
        <v>1386</v>
      </c>
      <c r="B1391" s="3" t="str">
        <f>"00485408"</f>
        <v>00485408</v>
      </c>
    </row>
    <row r="1392" spans="1:2" x14ac:dyDescent="0.25">
      <c r="A1392" s="3">
        <v>1387</v>
      </c>
      <c r="B1392" s="3" t="str">
        <f>"00485436"</f>
        <v>00485436</v>
      </c>
    </row>
    <row r="1393" spans="1:2" x14ac:dyDescent="0.25">
      <c r="A1393" s="3">
        <v>1388</v>
      </c>
      <c r="B1393" s="3" t="str">
        <f>"00485954"</f>
        <v>00485954</v>
      </c>
    </row>
    <row r="1394" spans="1:2" x14ac:dyDescent="0.25">
      <c r="A1394" s="3">
        <v>1389</v>
      </c>
      <c r="B1394" s="3" t="str">
        <f>"00486027"</f>
        <v>00486027</v>
      </c>
    </row>
    <row r="1395" spans="1:2" x14ac:dyDescent="0.25">
      <c r="A1395" s="3">
        <v>1390</v>
      </c>
      <c r="B1395" s="3" t="str">
        <f>"00486062"</f>
        <v>00486062</v>
      </c>
    </row>
    <row r="1396" spans="1:2" x14ac:dyDescent="0.25">
      <c r="A1396" s="3">
        <v>1391</v>
      </c>
      <c r="B1396" s="3" t="str">
        <f>"00486513"</f>
        <v>00486513</v>
      </c>
    </row>
    <row r="1397" spans="1:2" x14ac:dyDescent="0.25">
      <c r="A1397" s="3">
        <v>1392</v>
      </c>
      <c r="B1397" s="3" t="str">
        <f>"00486599"</f>
        <v>00486599</v>
      </c>
    </row>
    <row r="1398" spans="1:2" x14ac:dyDescent="0.25">
      <c r="A1398" s="3">
        <v>1393</v>
      </c>
      <c r="B1398" s="3" t="str">
        <f>"00487257"</f>
        <v>00487257</v>
      </c>
    </row>
    <row r="1399" spans="1:2" x14ac:dyDescent="0.25">
      <c r="A1399" s="3">
        <v>1394</v>
      </c>
      <c r="B1399" s="3" t="str">
        <f>"00487386"</f>
        <v>00487386</v>
      </c>
    </row>
    <row r="1400" spans="1:2" x14ac:dyDescent="0.25">
      <c r="A1400" s="3">
        <v>1395</v>
      </c>
      <c r="B1400" s="3" t="str">
        <f>"00487509"</f>
        <v>00487509</v>
      </c>
    </row>
    <row r="1401" spans="1:2" x14ac:dyDescent="0.25">
      <c r="A1401" s="3">
        <v>1396</v>
      </c>
      <c r="B1401" s="3" t="str">
        <f>"00487610"</f>
        <v>00487610</v>
      </c>
    </row>
    <row r="1402" spans="1:2" x14ac:dyDescent="0.25">
      <c r="A1402" s="3">
        <v>1397</v>
      </c>
      <c r="B1402" s="3" t="str">
        <f>"00488920"</f>
        <v>00488920</v>
      </c>
    </row>
    <row r="1403" spans="1:2" x14ac:dyDescent="0.25">
      <c r="A1403" s="3">
        <v>1398</v>
      </c>
      <c r="B1403" s="3" t="str">
        <f>"00489087"</f>
        <v>00489087</v>
      </c>
    </row>
    <row r="1404" spans="1:2" x14ac:dyDescent="0.25">
      <c r="A1404" s="3">
        <v>1399</v>
      </c>
      <c r="B1404" s="3" t="str">
        <f>"00489301"</f>
        <v>00489301</v>
      </c>
    </row>
    <row r="1405" spans="1:2" x14ac:dyDescent="0.25">
      <c r="A1405" s="3">
        <v>1400</v>
      </c>
      <c r="B1405" s="3" t="str">
        <f>"00489460"</f>
        <v>00489460</v>
      </c>
    </row>
    <row r="1406" spans="1:2" x14ac:dyDescent="0.25">
      <c r="A1406" s="3">
        <v>1401</v>
      </c>
      <c r="B1406" s="3" t="str">
        <f>"00489709"</f>
        <v>00489709</v>
      </c>
    </row>
    <row r="1407" spans="1:2" x14ac:dyDescent="0.25">
      <c r="A1407" s="3">
        <v>1402</v>
      </c>
      <c r="B1407" s="3" t="str">
        <f>"00489910"</f>
        <v>00489910</v>
      </c>
    </row>
    <row r="1408" spans="1:2" x14ac:dyDescent="0.25">
      <c r="A1408" s="3">
        <v>1403</v>
      </c>
      <c r="B1408" s="3" t="str">
        <f>"00489912"</f>
        <v>00489912</v>
      </c>
    </row>
    <row r="1409" spans="1:2" x14ac:dyDescent="0.25">
      <c r="A1409" s="3">
        <v>1404</v>
      </c>
      <c r="B1409" s="3" t="str">
        <f>"00489974"</f>
        <v>00489974</v>
      </c>
    </row>
    <row r="1410" spans="1:2" x14ac:dyDescent="0.25">
      <c r="A1410" s="3">
        <v>1405</v>
      </c>
      <c r="B1410" s="3" t="str">
        <f>"00490040"</f>
        <v>00490040</v>
      </c>
    </row>
    <row r="1411" spans="1:2" x14ac:dyDescent="0.25">
      <c r="A1411" s="3">
        <v>1406</v>
      </c>
      <c r="B1411" s="3" t="str">
        <f>"00490437"</f>
        <v>00490437</v>
      </c>
    </row>
    <row r="1412" spans="1:2" x14ac:dyDescent="0.25">
      <c r="A1412" s="3">
        <v>1407</v>
      </c>
      <c r="B1412" s="3" t="str">
        <f>"00491007"</f>
        <v>00491007</v>
      </c>
    </row>
    <row r="1413" spans="1:2" x14ac:dyDescent="0.25">
      <c r="A1413" s="3">
        <v>1408</v>
      </c>
      <c r="B1413" s="3" t="str">
        <f>"00491100"</f>
        <v>00491100</v>
      </c>
    </row>
    <row r="1414" spans="1:2" x14ac:dyDescent="0.25">
      <c r="A1414" s="3">
        <v>1409</v>
      </c>
      <c r="B1414" s="3" t="str">
        <f>"00491150"</f>
        <v>00491150</v>
      </c>
    </row>
    <row r="1415" spans="1:2" x14ac:dyDescent="0.25">
      <c r="A1415" s="3">
        <v>1410</v>
      </c>
      <c r="B1415" s="3" t="str">
        <f>"00491154"</f>
        <v>00491154</v>
      </c>
    </row>
    <row r="1416" spans="1:2" x14ac:dyDescent="0.25">
      <c r="A1416" s="3">
        <v>1411</v>
      </c>
      <c r="B1416" s="3" t="str">
        <f>"00491157"</f>
        <v>00491157</v>
      </c>
    </row>
    <row r="1417" spans="1:2" x14ac:dyDescent="0.25">
      <c r="A1417" s="3">
        <v>1412</v>
      </c>
      <c r="B1417" s="3" t="str">
        <f>"00491174"</f>
        <v>00491174</v>
      </c>
    </row>
    <row r="1418" spans="1:2" x14ac:dyDescent="0.25">
      <c r="A1418" s="3">
        <v>1413</v>
      </c>
      <c r="B1418" s="3" t="str">
        <f>"00491286"</f>
        <v>00491286</v>
      </c>
    </row>
    <row r="1419" spans="1:2" x14ac:dyDescent="0.25">
      <c r="A1419" s="3">
        <v>1414</v>
      </c>
      <c r="B1419" s="3" t="str">
        <f>"00491295"</f>
        <v>00491295</v>
      </c>
    </row>
    <row r="1420" spans="1:2" x14ac:dyDescent="0.25">
      <c r="A1420" s="3">
        <v>1415</v>
      </c>
      <c r="B1420" s="3" t="str">
        <f>"00491884"</f>
        <v>00491884</v>
      </c>
    </row>
    <row r="1421" spans="1:2" x14ac:dyDescent="0.25">
      <c r="A1421" s="3">
        <v>1416</v>
      </c>
      <c r="B1421" s="3" t="str">
        <f>"00492079"</f>
        <v>00492079</v>
      </c>
    </row>
    <row r="1422" spans="1:2" x14ac:dyDescent="0.25">
      <c r="A1422" s="3">
        <v>1417</v>
      </c>
      <c r="B1422" s="3" t="str">
        <f>"00492409"</f>
        <v>00492409</v>
      </c>
    </row>
    <row r="1423" spans="1:2" x14ac:dyDescent="0.25">
      <c r="A1423" s="3">
        <v>1418</v>
      </c>
      <c r="B1423" s="3" t="str">
        <f>"00492415"</f>
        <v>00492415</v>
      </c>
    </row>
    <row r="1424" spans="1:2" x14ac:dyDescent="0.25">
      <c r="A1424" s="3">
        <v>1419</v>
      </c>
      <c r="B1424" s="3" t="str">
        <f>"00492607"</f>
        <v>00492607</v>
      </c>
    </row>
    <row r="1425" spans="1:2" x14ac:dyDescent="0.25">
      <c r="A1425" s="3">
        <v>1420</v>
      </c>
      <c r="B1425" s="3" t="str">
        <f>"00492614"</f>
        <v>00492614</v>
      </c>
    </row>
    <row r="1426" spans="1:2" x14ac:dyDescent="0.25">
      <c r="A1426" s="3">
        <v>1421</v>
      </c>
      <c r="B1426" s="3" t="str">
        <f>"00492617"</f>
        <v>00492617</v>
      </c>
    </row>
    <row r="1427" spans="1:2" x14ac:dyDescent="0.25">
      <c r="A1427" s="3">
        <v>1422</v>
      </c>
      <c r="B1427" s="3" t="str">
        <f>"00492710"</f>
        <v>00492710</v>
      </c>
    </row>
    <row r="1428" spans="1:2" x14ac:dyDescent="0.25">
      <c r="A1428" s="3">
        <v>1423</v>
      </c>
      <c r="B1428" s="3" t="str">
        <f>"00492790"</f>
        <v>00492790</v>
      </c>
    </row>
    <row r="1429" spans="1:2" x14ac:dyDescent="0.25">
      <c r="A1429" s="3">
        <v>1424</v>
      </c>
      <c r="B1429" s="3" t="str">
        <f>"00492842"</f>
        <v>00492842</v>
      </c>
    </row>
    <row r="1430" spans="1:2" x14ac:dyDescent="0.25">
      <c r="A1430" s="3">
        <v>1425</v>
      </c>
      <c r="B1430" s="3" t="str">
        <f>"00493681"</f>
        <v>00493681</v>
      </c>
    </row>
    <row r="1431" spans="1:2" x14ac:dyDescent="0.25">
      <c r="A1431" s="3">
        <v>1426</v>
      </c>
      <c r="B1431" s="3" t="str">
        <f>"00493742"</f>
        <v>00493742</v>
      </c>
    </row>
    <row r="1432" spans="1:2" x14ac:dyDescent="0.25">
      <c r="A1432" s="3">
        <v>1427</v>
      </c>
      <c r="B1432" s="3" t="str">
        <f>"00493805"</f>
        <v>00493805</v>
      </c>
    </row>
    <row r="1433" spans="1:2" x14ac:dyDescent="0.25">
      <c r="A1433" s="3">
        <v>1428</v>
      </c>
      <c r="B1433" s="3" t="str">
        <f>"00494274"</f>
        <v>00494274</v>
      </c>
    </row>
    <row r="1434" spans="1:2" x14ac:dyDescent="0.25">
      <c r="A1434" s="3">
        <v>1429</v>
      </c>
      <c r="B1434" s="3" t="str">
        <f>"00494784"</f>
        <v>00494784</v>
      </c>
    </row>
    <row r="1435" spans="1:2" x14ac:dyDescent="0.25">
      <c r="A1435" s="3">
        <v>1430</v>
      </c>
      <c r="B1435" s="3" t="str">
        <f>"00495103"</f>
        <v>00495103</v>
      </c>
    </row>
    <row r="1436" spans="1:2" x14ac:dyDescent="0.25">
      <c r="A1436" s="3">
        <v>1431</v>
      </c>
      <c r="B1436" s="3" t="str">
        <f>"00495619"</f>
        <v>00495619</v>
      </c>
    </row>
    <row r="1437" spans="1:2" x14ac:dyDescent="0.25">
      <c r="A1437" s="3">
        <v>1432</v>
      </c>
      <c r="B1437" s="3" t="str">
        <f>"00495904"</f>
        <v>00495904</v>
      </c>
    </row>
    <row r="1438" spans="1:2" x14ac:dyDescent="0.25">
      <c r="A1438" s="3">
        <v>1433</v>
      </c>
      <c r="B1438" s="3" t="str">
        <f>"00496130"</f>
        <v>00496130</v>
      </c>
    </row>
    <row r="1439" spans="1:2" x14ac:dyDescent="0.25">
      <c r="A1439" s="3">
        <v>1434</v>
      </c>
      <c r="B1439" s="3" t="str">
        <f>"00496198"</f>
        <v>00496198</v>
      </c>
    </row>
    <row r="1440" spans="1:2" x14ac:dyDescent="0.25">
      <c r="A1440" s="3">
        <v>1435</v>
      </c>
      <c r="B1440" s="3" t="str">
        <f>"00496421"</f>
        <v>00496421</v>
      </c>
    </row>
    <row r="1441" spans="1:2" x14ac:dyDescent="0.25">
      <c r="A1441" s="3">
        <v>1436</v>
      </c>
      <c r="B1441" s="3" t="str">
        <f>"00496939"</f>
        <v>00496939</v>
      </c>
    </row>
    <row r="1442" spans="1:2" x14ac:dyDescent="0.25">
      <c r="A1442" s="3">
        <v>1437</v>
      </c>
      <c r="B1442" s="3" t="str">
        <f>"00497066"</f>
        <v>00497066</v>
      </c>
    </row>
    <row r="1443" spans="1:2" x14ac:dyDescent="0.25">
      <c r="A1443" s="3">
        <v>1438</v>
      </c>
      <c r="B1443" s="3" t="str">
        <f>"00497685"</f>
        <v>00497685</v>
      </c>
    </row>
    <row r="1444" spans="1:2" x14ac:dyDescent="0.25">
      <c r="A1444" s="3">
        <v>1439</v>
      </c>
      <c r="B1444" s="3" t="str">
        <f>"00497718"</f>
        <v>00497718</v>
      </c>
    </row>
    <row r="1445" spans="1:2" x14ac:dyDescent="0.25">
      <c r="A1445" s="3">
        <v>1440</v>
      </c>
      <c r="B1445" s="3" t="str">
        <f>"00497966"</f>
        <v>00497966</v>
      </c>
    </row>
    <row r="1446" spans="1:2" x14ac:dyDescent="0.25">
      <c r="A1446" s="3">
        <v>1441</v>
      </c>
      <c r="B1446" s="3" t="str">
        <f>"00498186"</f>
        <v>00498186</v>
      </c>
    </row>
    <row r="1447" spans="1:2" x14ac:dyDescent="0.25">
      <c r="A1447" s="3">
        <v>1442</v>
      </c>
      <c r="B1447" s="3" t="str">
        <f>"00498261"</f>
        <v>00498261</v>
      </c>
    </row>
    <row r="1448" spans="1:2" x14ac:dyDescent="0.25">
      <c r="A1448" s="3">
        <v>1443</v>
      </c>
      <c r="B1448" s="3" t="str">
        <f>"00498371"</f>
        <v>00498371</v>
      </c>
    </row>
    <row r="1449" spans="1:2" x14ac:dyDescent="0.25">
      <c r="A1449" s="3">
        <v>1444</v>
      </c>
      <c r="B1449" s="3" t="str">
        <f>"00498384"</f>
        <v>00498384</v>
      </c>
    </row>
    <row r="1450" spans="1:2" x14ac:dyDescent="0.25">
      <c r="A1450" s="3">
        <v>1445</v>
      </c>
      <c r="B1450" s="3" t="str">
        <f>"00498535"</f>
        <v>00498535</v>
      </c>
    </row>
    <row r="1451" spans="1:2" x14ac:dyDescent="0.25">
      <c r="A1451" s="3">
        <v>1446</v>
      </c>
      <c r="B1451" s="3" t="str">
        <f>"00498564"</f>
        <v>00498564</v>
      </c>
    </row>
    <row r="1452" spans="1:2" x14ac:dyDescent="0.25">
      <c r="A1452" s="3">
        <v>1447</v>
      </c>
      <c r="B1452" s="3" t="str">
        <f>"00498735"</f>
        <v>00498735</v>
      </c>
    </row>
    <row r="1453" spans="1:2" x14ac:dyDescent="0.25">
      <c r="A1453" s="3">
        <v>1448</v>
      </c>
      <c r="B1453" s="3" t="str">
        <f>"00499049"</f>
        <v>00499049</v>
      </c>
    </row>
    <row r="1454" spans="1:2" x14ac:dyDescent="0.25">
      <c r="A1454" s="3">
        <v>1449</v>
      </c>
      <c r="B1454" s="3" t="str">
        <f>"00499493"</f>
        <v>00499493</v>
      </c>
    </row>
    <row r="1455" spans="1:2" x14ac:dyDescent="0.25">
      <c r="A1455" s="3">
        <v>1450</v>
      </c>
      <c r="B1455" s="3" t="str">
        <f>"00499496"</f>
        <v>00499496</v>
      </c>
    </row>
    <row r="1456" spans="1:2" x14ac:dyDescent="0.25">
      <c r="A1456" s="3">
        <v>1451</v>
      </c>
      <c r="B1456" s="3" t="str">
        <f>"00500031"</f>
        <v>00500031</v>
      </c>
    </row>
    <row r="1457" spans="1:2" x14ac:dyDescent="0.25">
      <c r="A1457" s="3">
        <v>1452</v>
      </c>
      <c r="B1457" s="3" t="str">
        <f>"00500195"</f>
        <v>00500195</v>
      </c>
    </row>
    <row r="1458" spans="1:2" x14ac:dyDescent="0.25">
      <c r="A1458" s="3">
        <v>1453</v>
      </c>
      <c r="B1458" s="3" t="str">
        <f>"00500469"</f>
        <v>00500469</v>
      </c>
    </row>
    <row r="1459" spans="1:2" x14ac:dyDescent="0.25">
      <c r="A1459" s="3">
        <v>1454</v>
      </c>
      <c r="B1459" s="3" t="str">
        <f>"00500506"</f>
        <v>00500506</v>
      </c>
    </row>
    <row r="1460" spans="1:2" x14ac:dyDescent="0.25">
      <c r="A1460" s="3">
        <v>1455</v>
      </c>
      <c r="B1460" s="3" t="str">
        <f>"00500533"</f>
        <v>00500533</v>
      </c>
    </row>
    <row r="1461" spans="1:2" x14ac:dyDescent="0.25">
      <c r="A1461" s="3">
        <v>1456</v>
      </c>
      <c r="B1461" s="3" t="str">
        <f>"00500547"</f>
        <v>00500547</v>
      </c>
    </row>
    <row r="1462" spans="1:2" x14ac:dyDescent="0.25">
      <c r="A1462" s="3">
        <v>1457</v>
      </c>
      <c r="B1462" s="3" t="str">
        <f>"00500863"</f>
        <v>00500863</v>
      </c>
    </row>
    <row r="1463" spans="1:2" x14ac:dyDescent="0.25">
      <c r="A1463" s="3">
        <v>1458</v>
      </c>
      <c r="B1463" s="3" t="str">
        <f>"00500946"</f>
        <v>00500946</v>
      </c>
    </row>
    <row r="1464" spans="1:2" x14ac:dyDescent="0.25">
      <c r="A1464" s="3">
        <v>1459</v>
      </c>
      <c r="B1464" s="3" t="str">
        <f>"00501062"</f>
        <v>00501062</v>
      </c>
    </row>
    <row r="1465" spans="1:2" x14ac:dyDescent="0.25">
      <c r="A1465" s="3">
        <v>1460</v>
      </c>
      <c r="B1465" s="3" t="str">
        <f>"00501178"</f>
        <v>00501178</v>
      </c>
    </row>
    <row r="1466" spans="1:2" x14ac:dyDescent="0.25">
      <c r="A1466" s="3">
        <v>1461</v>
      </c>
      <c r="B1466" s="3" t="str">
        <f>"00501277"</f>
        <v>00501277</v>
      </c>
    </row>
    <row r="1467" spans="1:2" x14ac:dyDescent="0.25">
      <c r="A1467" s="3">
        <v>1462</v>
      </c>
      <c r="B1467" s="3" t="str">
        <f>"00501387"</f>
        <v>00501387</v>
      </c>
    </row>
    <row r="1468" spans="1:2" x14ac:dyDescent="0.25">
      <c r="A1468" s="3">
        <v>1463</v>
      </c>
      <c r="B1468" s="3" t="str">
        <f>"00501578"</f>
        <v>00501578</v>
      </c>
    </row>
    <row r="1469" spans="1:2" x14ac:dyDescent="0.25">
      <c r="A1469" s="3">
        <v>1464</v>
      </c>
      <c r="B1469" s="3" t="str">
        <f>"00501783"</f>
        <v>00501783</v>
      </c>
    </row>
    <row r="1470" spans="1:2" x14ac:dyDescent="0.25">
      <c r="A1470" s="3">
        <v>1465</v>
      </c>
      <c r="B1470" s="3" t="str">
        <f>"00501977"</f>
        <v>00501977</v>
      </c>
    </row>
    <row r="1471" spans="1:2" x14ac:dyDescent="0.25">
      <c r="A1471" s="3">
        <v>1466</v>
      </c>
      <c r="B1471" s="3" t="str">
        <f>"00502286"</f>
        <v>00502286</v>
      </c>
    </row>
    <row r="1472" spans="1:2" x14ac:dyDescent="0.25">
      <c r="A1472" s="3">
        <v>1467</v>
      </c>
      <c r="B1472" s="3" t="str">
        <f>"00503369"</f>
        <v>00503369</v>
      </c>
    </row>
    <row r="1473" spans="1:2" x14ac:dyDescent="0.25">
      <c r="A1473" s="3">
        <v>1468</v>
      </c>
      <c r="B1473" s="3" t="str">
        <f>"00503466"</f>
        <v>00503466</v>
      </c>
    </row>
    <row r="1474" spans="1:2" x14ac:dyDescent="0.25">
      <c r="A1474" s="3">
        <v>1469</v>
      </c>
      <c r="B1474" s="3" t="str">
        <f>"00503703"</f>
        <v>00503703</v>
      </c>
    </row>
    <row r="1475" spans="1:2" x14ac:dyDescent="0.25">
      <c r="A1475" s="3">
        <v>1470</v>
      </c>
      <c r="B1475" s="3" t="str">
        <f>"00503827"</f>
        <v>00503827</v>
      </c>
    </row>
    <row r="1476" spans="1:2" x14ac:dyDescent="0.25">
      <c r="A1476" s="3">
        <v>1471</v>
      </c>
      <c r="B1476" s="3" t="str">
        <f>"00503955"</f>
        <v>00503955</v>
      </c>
    </row>
    <row r="1477" spans="1:2" x14ac:dyDescent="0.25">
      <c r="A1477" s="3">
        <v>1472</v>
      </c>
      <c r="B1477" s="3" t="str">
        <f>"00504190"</f>
        <v>00504190</v>
      </c>
    </row>
    <row r="1478" spans="1:2" x14ac:dyDescent="0.25">
      <c r="A1478" s="3">
        <v>1473</v>
      </c>
      <c r="B1478" s="3" t="str">
        <f>"00504273"</f>
        <v>00504273</v>
      </c>
    </row>
    <row r="1479" spans="1:2" x14ac:dyDescent="0.25">
      <c r="A1479" s="3">
        <v>1474</v>
      </c>
      <c r="B1479" s="3" t="str">
        <f>"00504358"</f>
        <v>00504358</v>
      </c>
    </row>
    <row r="1480" spans="1:2" x14ac:dyDescent="0.25">
      <c r="A1480" s="3">
        <v>1475</v>
      </c>
      <c r="B1480" s="3" t="str">
        <f>"00504417"</f>
        <v>00504417</v>
      </c>
    </row>
    <row r="1481" spans="1:2" x14ac:dyDescent="0.25">
      <c r="A1481" s="3">
        <v>1476</v>
      </c>
      <c r="B1481" s="3" t="str">
        <f>"00504449"</f>
        <v>00504449</v>
      </c>
    </row>
    <row r="1482" spans="1:2" x14ac:dyDescent="0.25">
      <c r="A1482" s="3">
        <v>1477</v>
      </c>
      <c r="B1482" s="3" t="str">
        <f>"00504522"</f>
        <v>00504522</v>
      </c>
    </row>
    <row r="1483" spans="1:2" x14ac:dyDescent="0.25">
      <c r="A1483" s="3">
        <v>1478</v>
      </c>
      <c r="B1483" s="3" t="str">
        <f>"00504603"</f>
        <v>00504603</v>
      </c>
    </row>
    <row r="1484" spans="1:2" x14ac:dyDescent="0.25">
      <c r="A1484" s="3">
        <v>1479</v>
      </c>
      <c r="B1484" s="3" t="str">
        <f>"00504775"</f>
        <v>00504775</v>
      </c>
    </row>
    <row r="1485" spans="1:2" x14ac:dyDescent="0.25">
      <c r="A1485" s="3">
        <v>1480</v>
      </c>
      <c r="B1485" s="3" t="str">
        <f>"00504958"</f>
        <v>00504958</v>
      </c>
    </row>
    <row r="1486" spans="1:2" x14ac:dyDescent="0.25">
      <c r="A1486" s="3">
        <v>1481</v>
      </c>
      <c r="B1486" s="3" t="str">
        <f>"00505031"</f>
        <v>00505031</v>
      </c>
    </row>
    <row r="1487" spans="1:2" x14ac:dyDescent="0.25">
      <c r="A1487" s="3">
        <v>1482</v>
      </c>
      <c r="B1487" s="3" t="str">
        <f>"00505033"</f>
        <v>00505033</v>
      </c>
    </row>
    <row r="1488" spans="1:2" x14ac:dyDescent="0.25">
      <c r="A1488" s="3">
        <v>1483</v>
      </c>
      <c r="B1488" s="3" t="str">
        <f>"00505166"</f>
        <v>00505166</v>
      </c>
    </row>
    <row r="1489" spans="1:2" x14ac:dyDescent="0.25">
      <c r="A1489" s="3">
        <v>1484</v>
      </c>
      <c r="B1489" s="3" t="str">
        <f>"00505330"</f>
        <v>00505330</v>
      </c>
    </row>
    <row r="1490" spans="1:2" x14ac:dyDescent="0.25">
      <c r="A1490" s="3">
        <v>1485</v>
      </c>
      <c r="B1490" s="3" t="str">
        <f>"00505336"</f>
        <v>00505336</v>
      </c>
    </row>
    <row r="1491" spans="1:2" x14ac:dyDescent="0.25">
      <c r="A1491" s="3">
        <v>1486</v>
      </c>
      <c r="B1491" s="3" t="str">
        <f>"00505452"</f>
        <v>00505452</v>
      </c>
    </row>
    <row r="1492" spans="1:2" x14ac:dyDescent="0.25">
      <c r="A1492" s="3">
        <v>1487</v>
      </c>
      <c r="B1492" s="3" t="str">
        <f>"00505925"</f>
        <v>00505925</v>
      </c>
    </row>
    <row r="1493" spans="1:2" x14ac:dyDescent="0.25">
      <c r="A1493" s="3">
        <v>1488</v>
      </c>
      <c r="B1493" s="3" t="str">
        <f>"00505969"</f>
        <v>00505969</v>
      </c>
    </row>
    <row r="1494" spans="1:2" x14ac:dyDescent="0.25">
      <c r="A1494" s="3">
        <v>1489</v>
      </c>
      <c r="B1494" s="3" t="str">
        <f>"00506038"</f>
        <v>00506038</v>
      </c>
    </row>
    <row r="1495" spans="1:2" x14ac:dyDescent="0.25">
      <c r="A1495" s="3">
        <v>1490</v>
      </c>
      <c r="B1495" s="3" t="str">
        <f>"00506160"</f>
        <v>00506160</v>
      </c>
    </row>
    <row r="1496" spans="1:2" x14ac:dyDescent="0.25">
      <c r="A1496" s="3">
        <v>1491</v>
      </c>
      <c r="B1496" s="3" t="str">
        <f>"00506696"</f>
        <v>00506696</v>
      </c>
    </row>
    <row r="1497" spans="1:2" x14ac:dyDescent="0.25">
      <c r="A1497" s="3">
        <v>1492</v>
      </c>
      <c r="B1497" s="3" t="str">
        <f>"00506762"</f>
        <v>00506762</v>
      </c>
    </row>
    <row r="1498" spans="1:2" x14ac:dyDescent="0.25">
      <c r="A1498" s="3">
        <v>1493</v>
      </c>
      <c r="B1498" s="3" t="str">
        <f>"00506784"</f>
        <v>00506784</v>
      </c>
    </row>
    <row r="1499" spans="1:2" x14ac:dyDescent="0.25">
      <c r="A1499" s="3">
        <v>1494</v>
      </c>
      <c r="B1499" s="3" t="str">
        <f>"00506866"</f>
        <v>00506866</v>
      </c>
    </row>
    <row r="1500" spans="1:2" x14ac:dyDescent="0.25">
      <c r="A1500" s="3">
        <v>1495</v>
      </c>
      <c r="B1500" s="3" t="str">
        <f>"00507369"</f>
        <v>00507369</v>
      </c>
    </row>
    <row r="1501" spans="1:2" x14ac:dyDescent="0.25">
      <c r="A1501" s="3">
        <v>1496</v>
      </c>
      <c r="B1501" s="3" t="str">
        <f>"00507493"</f>
        <v>00507493</v>
      </c>
    </row>
    <row r="1502" spans="1:2" x14ac:dyDescent="0.25">
      <c r="A1502" s="3">
        <v>1497</v>
      </c>
      <c r="B1502" s="3" t="str">
        <f>"00507641"</f>
        <v>00507641</v>
      </c>
    </row>
    <row r="1503" spans="1:2" x14ac:dyDescent="0.25">
      <c r="A1503" s="3">
        <v>1498</v>
      </c>
      <c r="B1503" s="3" t="str">
        <f>"00507868"</f>
        <v>00507868</v>
      </c>
    </row>
    <row r="1504" spans="1:2" x14ac:dyDescent="0.25">
      <c r="A1504" s="3">
        <v>1499</v>
      </c>
      <c r="B1504" s="3" t="str">
        <f>"00508012"</f>
        <v>00508012</v>
      </c>
    </row>
    <row r="1505" spans="1:2" x14ac:dyDescent="0.25">
      <c r="A1505" s="3">
        <v>1500</v>
      </c>
      <c r="B1505" s="3" t="str">
        <f>"00508083"</f>
        <v>00508083</v>
      </c>
    </row>
    <row r="1506" spans="1:2" x14ac:dyDescent="0.25">
      <c r="A1506" s="3">
        <v>1501</v>
      </c>
      <c r="B1506" s="3" t="str">
        <f>"00508120"</f>
        <v>00508120</v>
      </c>
    </row>
    <row r="1507" spans="1:2" x14ac:dyDescent="0.25">
      <c r="A1507" s="3">
        <v>1502</v>
      </c>
      <c r="B1507" s="3" t="str">
        <f>"00508361"</f>
        <v>00508361</v>
      </c>
    </row>
    <row r="1508" spans="1:2" x14ac:dyDescent="0.25">
      <c r="A1508" s="3">
        <v>1503</v>
      </c>
      <c r="B1508" s="3" t="str">
        <f>"00508509"</f>
        <v>00508509</v>
      </c>
    </row>
    <row r="1509" spans="1:2" x14ac:dyDescent="0.25">
      <c r="A1509" s="3">
        <v>1504</v>
      </c>
      <c r="B1509" s="3" t="str">
        <f>"00508648"</f>
        <v>00508648</v>
      </c>
    </row>
    <row r="1510" spans="1:2" x14ac:dyDescent="0.25">
      <c r="A1510" s="3">
        <v>1505</v>
      </c>
      <c r="B1510" s="3" t="str">
        <f>"00508733"</f>
        <v>00508733</v>
      </c>
    </row>
    <row r="1511" spans="1:2" x14ac:dyDescent="0.25">
      <c r="A1511" s="3">
        <v>1506</v>
      </c>
      <c r="B1511" s="3" t="str">
        <f>"00508772"</f>
        <v>00508772</v>
      </c>
    </row>
    <row r="1512" spans="1:2" x14ac:dyDescent="0.25">
      <c r="A1512" s="3">
        <v>1507</v>
      </c>
      <c r="B1512" s="3" t="str">
        <f>"00508774"</f>
        <v>00508774</v>
      </c>
    </row>
    <row r="1513" spans="1:2" x14ac:dyDescent="0.25">
      <c r="A1513" s="3">
        <v>1508</v>
      </c>
      <c r="B1513" s="3" t="str">
        <f>"00508938"</f>
        <v>00508938</v>
      </c>
    </row>
    <row r="1514" spans="1:2" x14ac:dyDescent="0.25">
      <c r="A1514" s="3">
        <v>1509</v>
      </c>
      <c r="B1514" s="3" t="str">
        <f>"00508982"</f>
        <v>00508982</v>
      </c>
    </row>
    <row r="1515" spans="1:2" x14ac:dyDescent="0.25">
      <c r="A1515" s="3">
        <v>1510</v>
      </c>
      <c r="B1515" s="3" t="str">
        <f>"00509100"</f>
        <v>00509100</v>
      </c>
    </row>
    <row r="1516" spans="1:2" x14ac:dyDescent="0.25">
      <c r="A1516" s="3">
        <v>1511</v>
      </c>
      <c r="B1516" s="3" t="str">
        <f>"00509122"</f>
        <v>00509122</v>
      </c>
    </row>
    <row r="1517" spans="1:2" x14ac:dyDescent="0.25">
      <c r="A1517" s="3">
        <v>1512</v>
      </c>
      <c r="B1517" s="3" t="str">
        <f>"00509230"</f>
        <v>00509230</v>
      </c>
    </row>
    <row r="1518" spans="1:2" x14ac:dyDescent="0.25">
      <c r="A1518" s="3">
        <v>1513</v>
      </c>
      <c r="B1518" s="3" t="str">
        <f>"00509231"</f>
        <v>00509231</v>
      </c>
    </row>
    <row r="1519" spans="1:2" x14ac:dyDescent="0.25">
      <c r="A1519" s="3">
        <v>1514</v>
      </c>
      <c r="B1519" s="3" t="str">
        <f>"00509426"</f>
        <v>00509426</v>
      </c>
    </row>
    <row r="1520" spans="1:2" x14ac:dyDescent="0.25">
      <c r="A1520" s="3">
        <v>1515</v>
      </c>
      <c r="B1520" s="3" t="str">
        <f>"00509490"</f>
        <v>00509490</v>
      </c>
    </row>
    <row r="1521" spans="1:2" x14ac:dyDescent="0.25">
      <c r="A1521" s="3">
        <v>1516</v>
      </c>
      <c r="B1521" s="3" t="str">
        <f>"00509495"</f>
        <v>00509495</v>
      </c>
    </row>
    <row r="1522" spans="1:2" x14ac:dyDescent="0.25">
      <c r="A1522" s="3">
        <v>1517</v>
      </c>
      <c r="B1522" s="3" t="str">
        <f>"00509673"</f>
        <v>00509673</v>
      </c>
    </row>
    <row r="1523" spans="1:2" x14ac:dyDescent="0.25">
      <c r="A1523" s="3">
        <v>1518</v>
      </c>
      <c r="B1523" s="3" t="str">
        <f>"00509863"</f>
        <v>00509863</v>
      </c>
    </row>
    <row r="1524" spans="1:2" x14ac:dyDescent="0.25">
      <c r="A1524" s="3">
        <v>1519</v>
      </c>
      <c r="B1524" s="3" t="str">
        <f>"00510032"</f>
        <v>00510032</v>
      </c>
    </row>
    <row r="1525" spans="1:2" x14ac:dyDescent="0.25">
      <c r="A1525" s="3">
        <v>1520</v>
      </c>
      <c r="B1525" s="3" t="str">
        <f>"00510275"</f>
        <v>00510275</v>
      </c>
    </row>
    <row r="1526" spans="1:2" x14ac:dyDescent="0.25">
      <c r="A1526" s="3">
        <v>1521</v>
      </c>
      <c r="B1526" s="3" t="str">
        <f>"00510313"</f>
        <v>00510313</v>
      </c>
    </row>
    <row r="1527" spans="1:2" x14ac:dyDescent="0.25">
      <c r="A1527" s="3">
        <v>1522</v>
      </c>
      <c r="B1527" s="3" t="str">
        <f>"00510388"</f>
        <v>00510388</v>
      </c>
    </row>
    <row r="1528" spans="1:2" x14ac:dyDescent="0.25">
      <c r="A1528" s="3">
        <v>1523</v>
      </c>
      <c r="B1528" s="3" t="str">
        <f>"00510453"</f>
        <v>00510453</v>
      </c>
    </row>
    <row r="1529" spans="1:2" x14ac:dyDescent="0.25">
      <c r="A1529" s="3">
        <v>1524</v>
      </c>
      <c r="B1529" s="3" t="str">
        <f>"00511083"</f>
        <v>00511083</v>
      </c>
    </row>
    <row r="1530" spans="1:2" x14ac:dyDescent="0.25">
      <c r="A1530" s="3">
        <v>1525</v>
      </c>
      <c r="B1530" s="3" t="str">
        <f>"00511303"</f>
        <v>00511303</v>
      </c>
    </row>
    <row r="1531" spans="1:2" x14ac:dyDescent="0.25">
      <c r="A1531" s="3">
        <v>1526</v>
      </c>
      <c r="B1531" s="3" t="str">
        <f>"00511413"</f>
        <v>00511413</v>
      </c>
    </row>
    <row r="1532" spans="1:2" x14ac:dyDescent="0.25">
      <c r="A1532" s="3">
        <v>1527</v>
      </c>
      <c r="B1532" s="3" t="str">
        <f>"00511684"</f>
        <v>00511684</v>
      </c>
    </row>
    <row r="1533" spans="1:2" x14ac:dyDescent="0.25">
      <c r="A1533" s="3">
        <v>1528</v>
      </c>
      <c r="B1533" s="3" t="str">
        <f>"00511720"</f>
        <v>00511720</v>
      </c>
    </row>
    <row r="1534" spans="1:2" x14ac:dyDescent="0.25">
      <c r="A1534" s="3">
        <v>1529</v>
      </c>
      <c r="B1534" s="3" t="str">
        <f>"00511854"</f>
        <v>00511854</v>
      </c>
    </row>
    <row r="1535" spans="1:2" x14ac:dyDescent="0.25">
      <c r="A1535" s="3">
        <v>1530</v>
      </c>
      <c r="B1535" s="3" t="str">
        <f>"00511877"</f>
        <v>00511877</v>
      </c>
    </row>
    <row r="1536" spans="1:2" x14ac:dyDescent="0.25">
      <c r="A1536" s="3">
        <v>1531</v>
      </c>
      <c r="B1536" s="3" t="str">
        <f>"00512014"</f>
        <v>00512014</v>
      </c>
    </row>
    <row r="1537" spans="1:2" x14ac:dyDescent="0.25">
      <c r="A1537" s="3">
        <v>1532</v>
      </c>
      <c r="B1537" s="3" t="str">
        <f>"00512384"</f>
        <v>00512384</v>
      </c>
    </row>
    <row r="1538" spans="1:2" x14ac:dyDescent="0.25">
      <c r="A1538" s="3">
        <v>1533</v>
      </c>
      <c r="B1538" s="3" t="str">
        <f>"00512568"</f>
        <v>00512568</v>
      </c>
    </row>
    <row r="1539" spans="1:2" x14ac:dyDescent="0.25">
      <c r="A1539" s="3">
        <v>1534</v>
      </c>
      <c r="B1539" s="3" t="str">
        <f>"00512619"</f>
        <v>00512619</v>
      </c>
    </row>
    <row r="1540" spans="1:2" x14ac:dyDescent="0.25">
      <c r="A1540" s="3">
        <v>1535</v>
      </c>
      <c r="B1540" s="3" t="str">
        <f>"00513084"</f>
        <v>00513084</v>
      </c>
    </row>
    <row r="1541" spans="1:2" x14ac:dyDescent="0.25">
      <c r="A1541" s="3">
        <v>1536</v>
      </c>
      <c r="B1541" s="3" t="str">
        <f>"00513278"</f>
        <v>00513278</v>
      </c>
    </row>
    <row r="1542" spans="1:2" x14ac:dyDescent="0.25">
      <c r="A1542" s="3">
        <v>1537</v>
      </c>
      <c r="B1542" s="3" t="str">
        <f>"00513310"</f>
        <v>00513310</v>
      </c>
    </row>
    <row r="1543" spans="1:2" x14ac:dyDescent="0.25">
      <c r="A1543" s="3">
        <v>1538</v>
      </c>
      <c r="B1543" s="3" t="str">
        <f>"00513818"</f>
        <v>00513818</v>
      </c>
    </row>
    <row r="1544" spans="1:2" x14ac:dyDescent="0.25">
      <c r="A1544" s="3">
        <v>1539</v>
      </c>
      <c r="B1544" s="3" t="str">
        <f>"00514058"</f>
        <v>00514058</v>
      </c>
    </row>
    <row r="1545" spans="1:2" x14ac:dyDescent="0.25">
      <c r="A1545" s="3">
        <v>1540</v>
      </c>
      <c r="B1545" s="3" t="str">
        <f>"00514298"</f>
        <v>00514298</v>
      </c>
    </row>
    <row r="1546" spans="1:2" x14ac:dyDescent="0.25">
      <c r="A1546" s="3">
        <v>1541</v>
      </c>
      <c r="B1546" s="3" t="str">
        <f>"00514304"</f>
        <v>00514304</v>
      </c>
    </row>
    <row r="1547" spans="1:2" x14ac:dyDescent="0.25">
      <c r="A1547" s="3">
        <v>1542</v>
      </c>
      <c r="B1547" s="3" t="str">
        <f>"00514374"</f>
        <v>00514374</v>
      </c>
    </row>
    <row r="1548" spans="1:2" x14ac:dyDescent="0.25">
      <c r="A1548" s="3">
        <v>1543</v>
      </c>
      <c r="B1548" s="3" t="str">
        <f>"00514646"</f>
        <v>00514646</v>
      </c>
    </row>
    <row r="1549" spans="1:2" x14ac:dyDescent="0.25">
      <c r="A1549" s="3">
        <v>1544</v>
      </c>
      <c r="B1549" s="3" t="str">
        <f>"00514880"</f>
        <v>00514880</v>
      </c>
    </row>
    <row r="1550" spans="1:2" x14ac:dyDescent="0.25">
      <c r="A1550" s="3">
        <v>1545</v>
      </c>
      <c r="B1550" s="3" t="str">
        <f>"00514935"</f>
        <v>00514935</v>
      </c>
    </row>
    <row r="1551" spans="1:2" x14ac:dyDescent="0.25">
      <c r="A1551" s="3">
        <v>1546</v>
      </c>
      <c r="B1551" s="3" t="str">
        <f>"00514950"</f>
        <v>00514950</v>
      </c>
    </row>
    <row r="1552" spans="1:2" x14ac:dyDescent="0.25">
      <c r="A1552" s="3">
        <v>1547</v>
      </c>
      <c r="B1552" s="3" t="str">
        <f>"00515199"</f>
        <v>00515199</v>
      </c>
    </row>
    <row r="1553" spans="1:2" x14ac:dyDescent="0.25">
      <c r="A1553" s="3">
        <v>1548</v>
      </c>
      <c r="B1553" s="3" t="str">
        <f>"00515559"</f>
        <v>00515559</v>
      </c>
    </row>
    <row r="1554" spans="1:2" x14ac:dyDescent="0.25">
      <c r="A1554" s="3">
        <v>1549</v>
      </c>
      <c r="B1554" s="3" t="str">
        <f>"00515922"</f>
        <v>00515922</v>
      </c>
    </row>
    <row r="1555" spans="1:2" x14ac:dyDescent="0.25">
      <c r="A1555" s="3">
        <v>1550</v>
      </c>
      <c r="B1555" s="3" t="str">
        <f>"00516010"</f>
        <v>00516010</v>
      </c>
    </row>
    <row r="1556" spans="1:2" x14ac:dyDescent="0.25">
      <c r="A1556" s="3">
        <v>1551</v>
      </c>
      <c r="B1556" s="3" t="str">
        <f>"00516023"</f>
        <v>00516023</v>
      </c>
    </row>
    <row r="1557" spans="1:2" x14ac:dyDescent="0.25">
      <c r="A1557" s="3">
        <v>1552</v>
      </c>
      <c r="B1557" s="3" t="str">
        <f>"00516418"</f>
        <v>00516418</v>
      </c>
    </row>
    <row r="1558" spans="1:2" x14ac:dyDescent="0.25">
      <c r="A1558" s="3">
        <v>1553</v>
      </c>
      <c r="B1558" s="3" t="str">
        <f>"00516704"</f>
        <v>00516704</v>
      </c>
    </row>
    <row r="1559" spans="1:2" x14ac:dyDescent="0.25">
      <c r="A1559" s="3">
        <v>1554</v>
      </c>
      <c r="B1559" s="3" t="str">
        <f>"00517296"</f>
        <v>00517296</v>
      </c>
    </row>
    <row r="1560" spans="1:2" x14ac:dyDescent="0.25">
      <c r="A1560" s="3">
        <v>1555</v>
      </c>
      <c r="B1560" s="3" t="str">
        <f>"00517562"</f>
        <v>00517562</v>
      </c>
    </row>
    <row r="1561" spans="1:2" x14ac:dyDescent="0.25">
      <c r="A1561" s="3">
        <v>1556</v>
      </c>
      <c r="B1561" s="3" t="str">
        <f>"00517645"</f>
        <v>00517645</v>
      </c>
    </row>
    <row r="1562" spans="1:2" x14ac:dyDescent="0.25">
      <c r="A1562" s="3">
        <v>1557</v>
      </c>
      <c r="B1562" s="3" t="str">
        <f>"00517735"</f>
        <v>00517735</v>
      </c>
    </row>
    <row r="1563" spans="1:2" x14ac:dyDescent="0.25">
      <c r="A1563" s="3">
        <v>1558</v>
      </c>
      <c r="B1563" s="3" t="str">
        <f>"00517894"</f>
        <v>00517894</v>
      </c>
    </row>
    <row r="1564" spans="1:2" x14ac:dyDescent="0.25">
      <c r="A1564" s="3">
        <v>1559</v>
      </c>
      <c r="B1564" s="3" t="str">
        <f>"00518017"</f>
        <v>00518017</v>
      </c>
    </row>
    <row r="1565" spans="1:2" x14ac:dyDescent="0.25">
      <c r="A1565" s="3">
        <v>1560</v>
      </c>
      <c r="B1565" s="3" t="str">
        <f>"00518093"</f>
        <v>00518093</v>
      </c>
    </row>
    <row r="1566" spans="1:2" x14ac:dyDescent="0.25">
      <c r="A1566" s="3">
        <v>1561</v>
      </c>
      <c r="B1566" s="3" t="str">
        <f>"00518225"</f>
        <v>00518225</v>
      </c>
    </row>
    <row r="1567" spans="1:2" x14ac:dyDescent="0.25">
      <c r="A1567" s="3">
        <v>1562</v>
      </c>
      <c r="B1567" s="3" t="str">
        <f>"00518246"</f>
        <v>00518246</v>
      </c>
    </row>
    <row r="1568" spans="1:2" x14ac:dyDescent="0.25">
      <c r="A1568" s="3">
        <v>1563</v>
      </c>
      <c r="B1568" s="3" t="str">
        <f>"00518601"</f>
        <v>00518601</v>
      </c>
    </row>
    <row r="1569" spans="1:2" x14ac:dyDescent="0.25">
      <c r="A1569" s="3">
        <v>1564</v>
      </c>
      <c r="B1569" s="3" t="str">
        <f>"00518607"</f>
        <v>00518607</v>
      </c>
    </row>
    <row r="1570" spans="1:2" x14ac:dyDescent="0.25">
      <c r="A1570" s="3">
        <v>1565</v>
      </c>
      <c r="B1570" s="3" t="str">
        <f>"00518818"</f>
        <v>00518818</v>
      </c>
    </row>
    <row r="1571" spans="1:2" x14ac:dyDescent="0.25">
      <c r="A1571" s="3">
        <v>1566</v>
      </c>
      <c r="B1571" s="3" t="str">
        <f>"00518948"</f>
        <v>00518948</v>
      </c>
    </row>
    <row r="1572" spans="1:2" x14ac:dyDescent="0.25">
      <c r="A1572" s="3">
        <v>1567</v>
      </c>
      <c r="B1572" s="3" t="str">
        <f>"00518968"</f>
        <v>00518968</v>
      </c>
    </row>
    <row r="1573" spans="1:2" x14ac:dyDescent="0.25">
      <c r="A1573" s="3">
        <v>1568</v>
      </c>
      <c r="B1573" s="3" t="str">
        <f>"00519041"</f>
        <v>00519041</v>
      </c>
    </row>
    <row r="1574" spans="1:2" x14ac:dyDescent="0.25">
      <c r="A1574" s="3">
        <v>1569</v>
      </c>
      <c r="B1574" s="3" t="str">
        <f>"00519092"</f>
        <v>00519092</v>
      </c>
    </row>
    <row r="1575" spans="1:2" x14ac:dyDescent="0.25">
      <c r="A1575" s="3">
        <v>1570</v>
      </c>
      <c r="B1575" s="3" t="str">
        <f>"00519893"</f>
        <v>00519893</v>
      </c>
    </row>
    <row r="1576" spans="1:2" x14ac:dyDescent="0.25">
      <c r="A1576" s="3">
        <v>1571</v>
      </c>
      <c r="B1576" s="3" t="str">
        <f>"00520062"</f>
        <v>00520062</v>
      </c>
    </row>
    <row r="1577" spans="1:2" x14ac:dyDescent="0.25">
      <c r="A1577" s="3">
        <v>1572</v>
      </c>
      <c r="B1577" s="3" t="str">
        <f>"00520146"</f>
        <v>00520146</v>
      </c>
    </row>
    <row r="1578" spans="1:2" x14ac:dyDescent="0.25">
      <c r="A1578" s="3">
        <v>1573</v>
      </c>
      <c r="B1578" s="3" t="str">
        <f>"00520205"</f>
        <v>00520205</v>
      </c>
    </row>
    <row r="1579" spans="1:2" x14ac:dyDescent="0.25">
      <c r="A1579" s="3">
        <v>1574</v>
      </c>
      <c r="B1579" s="3" t="str">
        <f>"00520458"</f>
        <v>00520458</v>
      </c>
    </row>
    <row r="1580" spans="1:2" x14ac:dyDescent="0.25">
      <c r="A1580" s="3">
        <v>1575</v>
      </c>
      <c r="B1580" s="3" t="str">
        <f>"00520848"</f>
        <v>00520848</v>
      </c>
    </row>
    <row r="1581" spans="1:2" x14ac:dyDescent="0.25">
      <c r="A1581" s="3">
        <v>1576</v>
      </c>
      <c r="B1581" s="3" t="str">
        <f>"00521023"</f>
        <v>00521023</v>
      </c>
    </row>
    <row r="1582" spans="1:2" x14ac:dyDescent="0.25">
      <c r="A1582" s="3">
        <v>1577</v>
      </c>
      <c r="B1582" s="3" t="str">
        <f>"00521253"</f>
        <v>00521253</v>
      </c>
    </row>
    <row r="1583" spans="1:2" x14ac:dyDescent="0.25">
      <c r="A1583" s="3">
        <v>1578</v>
      </c>
      <c r="B1583" s="3" t="str">
        <f>"00521818"</f>
        <v>00521818</v>
      </c>
    </row>
    <row r="1584" spans="1:2" x14ac:dyDescent="0.25">
      <c r="A1584" s="3">
        <v>1579</v>
      </c>
      <c r="B1584" s="3" t="str">
        <f>"00521865"</f>
        <v>00521865</v>
      </c>
    </row>
    <row r="1585" spans="1:2" x14ac:dyDescent="0.25">
      <c r="A1585" s="3">
        <v>1580</v>
      </c>
      <c r="B1585" s="3" t="str">
        <f>"00521907"</f>
        <v>00521907</v>
      </c>
    </row>
    <row r="1586" spans="1:2" x14ac:dyDescent="0.25">
      <c r="A1586" s="3">
        <v>1581</v>
      </c>
      <c r="B1586" s="3" t="str">
        <f>"00522162"</f>
        <v>00522162</v>
      </c>
    </row>
    <row r="1587" spans="1:2" x14ac:dyDescent="0.25">
      <c r="A1587" s="3">
        <v>1582</v>
      </c>
      <c r="B1587" s="3" t="str">
        <f>"00522302"</f>
        <v>00522302</v>
      </c>
    </row>
    <row r="1588" spans="1:2" x14ac:dyDescent="0.25">
      <c r="A1588" s="3">
        <v>1583</v>
      </c>
      <c r="B1588" s="3" t="str">
        <f>"00522585"</f>
        <v>00522585</v>
      </c>
    </row>
    <row r="1589" spans="1:2" x14ac:dyDescent="0.25">
      <c r="A1589" s="3">
        <v>1584</v>
      </c>
      <c r="B1589" s="3" t="str">
        <f>"00522715"</f>
        <v>00522715</v>
      </c>
    </row>
    <row r="1590" spans="1:2" x14ac:dyDescent="0.25">
      <c r="A1590" s="3">
        <v>1585</v>
      </c>
      <c r="B1590" s="3" t="str">
        <f>"00522770"</f>
        <v>00522770</v>
      </c>
    </row>
    <row r="1591" spans="1:2" x14ac:dyDescent="0.25">
      <c r="A1591" s="3">
        <v>1586</v>
      </c>
      <c r="B1591" s="3" t="str">
        <f>"00522846"</f>
        <v>00522846</v>
      </c>
    </row>
    <row r="1592" spans="1:2" x14ac:dyDescent="0.25">
      <c r="A1592" s="3">
        <v>1587</v>
      </c>
      <c r="B1592" s="3" t="str">
        <f>"00522923"</f>
        <v>00522923</v>
      </c>
    </row>
    <row r="1593" spans="1:2" x14ac:dyDescent="0.25">
      <c r="A1593" s="3">
        <v>1588</v>
      </c>
      <c r="B1593" s="3" t="str">
        <f>"00523006"</f>
        <v>00523006</v>
      </c>
    </row>
    <row r="1594" spans="1:2" x14ac:dyDescent="0.25">
      <c r="A1594" s="3">
        <v>1589</v>
      </c>
      <c r="B1594" s="3" t="str">
        <f>"00523089"</f>
        <v>00523089</v>
      </c>
    </row>
    <row r="1595" spans="1:2" x14ac:dyDescent="0.25">
      <c r="A1595" s="3">
        <v>1590</v>
      </c>
      <c r="B1595" s="3" t="str">
        <f>"00523163"</f>
        <v>00523163</v>
      </c>
    </row>
    <row r="1596" spans="1:2" x14ac:dyDescent="0.25">
      <c r="A1596" s="3">
        <v>1591</v>
      </c>
      <c r="B1596" s="3" t="str">
        <f>"00523217"</f>
        <v>00523217</v>
      </c>
    </row>
    <row r="1597" spans="1:2" x14ac:dyDescent="0.25">
      <c r="A1597" s="3">
        <v>1592</v>
      </c>
      <c r="B1597" s="3" t="str">
        <f>"00523280"</f>
        <v>00523280</v>
      </c>
    </row>
    <row r="1598" spans="1:2" x14ac:dyDescent="0.25">
      <c r="A1598" s="3">
        <v>1593</v>
      </c>
      <c r="B1598" s="3" t="str">
        <f>"00523382"</f>
        <v>00523382</v>
      </c>
    </row>
    <row r="1599" spans="1:2" x14ac:dyDescent="0.25">
      <c r="A1599" s="3">
        <v>1594</v>
      </c>
      <c r="B1599" s="3" t="str">
        <f>"00523599"</f>
        <v>00523599</v>
      </c>
    </row>
    <row r="1600" spans="1:2" x14ac:dyDescent="0.25">
      <c r="A1600" s="3">
        <v>1595</v>
      </c>
      <c r="B1600" s="3" t="str">
        <f>"00523827"</f>
        <v>00523827</v>
      </c>
    </row>
    <row r="1601" spans="1:2" x14ac:dyDescent="0.25">
      <c r="A1601" s="3">
        <v>1596</v>
      </c>
      <c r="B1601" s="3" t="str">
        <f>"00524105"</f>
        <v>00524105</v>
      </c>
    </row>
    <row r="1602" spans="1:2" x14ac:dyDescent="0.25">
      <c r="A1602" s="3">
        <v>1597</v>
      </c>
      <c r="B1602" s="3" t="str">
        <f>"00524136"</f>
        <v>00524136</v>
      </c>
    </row>
    <row r="1603" spans="1:2" x14ac:dyDescent="0.25">
      <c r="A1603" s="3">
        <v>1598</v>
      </c>
      <c r="B1603" s="3" t="str">
        <f>"00524151"</f>
        <v>00524151</v>
      </c>
    </row>
    <row r="1604" spans="1:2" x14ac:dyDescent="0.25">
      <c r="A1604" s="3">
        <v>1599</v>
      </c>
      <c r="B1604" s="3" t="str">
        <f>"00524355"</f>
        <v>00524355</v>
      </c>
    </row>
    <row r="1605" spans="1:2" x14ac:dyDescent="0.25">
      <c r="A1605" s="3">
        <v>1600</v>
      </c>
      <c r="B1605" s="3" t="str">
        <f>"00524562"</f>
        <v>00524562</v>
      </c>
    </row>
    <row r="1606" spans="1:2" x14ac:dyDescent="0.25">
      <c r="A1606" s="3">
        <v>1601</v>
      </c>
      <c r="B1606" s="3" t="str">
        <f>"00524603"</f>
        <v>00524603</v>
      </c>
    </row>
    <row r="1607" spans="1:2" x14ac:dyDescent="0.25">
      <c r="A1607" s="3">
        <v>1602</v>
      </c>
      <c r="B1607" s="3" t="str">
        <f>"00524766"</f>
        <v>00524766</v>
      </c>
    </row>
    <row r="1608" spans="1:2" x14ac:dyDescent="0.25">
      <c r="A1608" s="3">
        <v>1603</v>
      </c>
      <c r="B1608" s="3" t="str">
        <f>"00524806"</f>
        <v>00524806</v>
      </c>
    </row>
    <row r="1609" spans="1:2" x14ac:dyDescent="0.25">
      <c r="A1609" s="3">
        <v>1604</v>
      </c>
      <c r="B1609" s="3" t="str">
        <f>"00524987"</f>
        <v>00524987</v>
      </c>
    </row>
    <row r="1610" spans="1:2" x14ac:dyDescent="0.25">
      <c r="A1610" s="3">
        <v>1605</v>
      </c>
      <c r="B1610" s="3" t="str">
        <f>"00524998"</f>
        <v>00524998</v>
      </c>
    </row>
    <row r="1611" spans="1:2" x14ac:dyDescent="0.25">
      <c r="A1611" s="3">
        <v>1606</v>
      </c>
      <c r="B1611" s="3" t="str">
        <f>"00525208"</f>
        <v>00525208</v>
      </c>
    </row>
    <row r="1612" spans="1:2" x14ac:dyDescent="0.25">
      <c r="A1612" s="3">
        <v>1607</v>
      </c>
      <c r="B1612" s="3" t="str">
        <f>"00525251"</f>
        <v>00525251</v>
      </c>
    </row>
    <row r="1613" spans="1:2" x14ac:dyDescent="0.25">
      <c r="A1613" s="3">
        <v>1608</v>
      </c>
      <c r="B1613" s="3" t="str">
        <f>"00525392"</f>
        <v>00525392</v>
      </c>
    </row>
    <row r="1614" spans="1:2" x14ac:dyDescent="0.25">
      <c r="A1614" s="3">
        <v>1609</v>
      </c>
      <c r="B1614" s="3" t="str">
        <f>"00525419"</f>
        <v>00525419</v>
      </c>
    </row>
    <row r="1615" spans="1:2" x14ac:dyDescent="0.25">
      <c r="A1615" s="3">
        <v>1610</v>
      </c>
      <c r="B1615" s="3" t="str">
        <f>"00525668"</f>
        <v>00525668</v>
      </c>
    </row>
    <row r="1616" spans="1:2" x14ac:dyDescent="0.25">
      <c r="A1616" s="3">
        <v>1611</v>
      </c>
      <c r="B1616" s="3" t="str">
        <f>"00525681"</f>
        <v>00525681</v>
      </c>
    </row>
    <row r="1617" spans="1:2" x14ac:dyDescent="0.25">
      <c r="A1617" s="3">
        <v>1612</v>
      </c>
      <c r="B1617" s="3" t="str">
        <f>"00525855"</f>
        <v>00525855</v>
      </c>
    </row>
    <row r="1618" spans="1:2" x14ac:dyDescent="0.25">
      <c r="A1618" s="3">
        <v>1613</v>
      </c>
      <c r="B1618" s="3" t="str">
        <f>"00526025"</f>
        <v>00526025</v>
      </c>
    </row>
    <row r="1619" spans="1:2" x14ac:dyDescent="0.25">
      <c r="A1619" s="3">
        <v>1614</v>
      </c>
      <c r="B1619" s="3" t="str">
        <f>"00526199"</f>
        <v>00526199</v>
      </c>
    </row>
    <row r="1620" spans="1:2" x14ac:dyDescent="0.25">
      <c r="A1620" s="3">
        <v>1615</v>
      </c>
      <c r="B1620" s="3" t="str">
        <f>"00526200"</f>
        <v>00526200</v>
      </c>
    </row>
    <row r="1621" spans="1:2" x14ac:dyDescent="0.25">
      <c r="A1621" s="3">
        <v>1616</v>
      </c>
      <c r="B1621" s="3" t="str">
        <f>"00526309"</f>
        <v>00526309</v>
      </c>
    </row>
    <row r="1622" spans="1:2" x14ac:dyDescent="0.25">
      <c r="A1622" s="3">
        <v>1617</v>
      </c>
      <c r="B1622" s="3" t="str">
        <f>"00526372"</f>
        <v>00526372</v>
      </c>
    </row>
    <row r="1623" spans="1:2" x14ac:dyDescent="0.25">
      <c r="A1623" s="3">
        <v>1618</v>
      </c>
      <c r="B1623" s="3" t="str">
        <f>"00526500"</f>
        <v>00526500</v>
      </c>
    </row>
    <row r="1624" spans="1:2" x14ac:dyDescent="0.25">
      <c r="A1624" s="3">
        <v>1619</v>
      </c>
      <c r="B1624" s="3" t="str">
        <f>"00526511"</f>
        <v>00526511</v>
      </c>
    </row>
    <row r="1625" spans="1:2" x14ac:dyDescent="0.25">
      <c r="A1625" s="3">
        <v>1620</v>
      </c>
      <c r="B1625" s="3" t="str">
        <f>"00526528"</f>
        <v>00526528</v>
      </c>
    </row>
    <row r="1626" spans="1:2" x14ac:dyDescent="0.25">
      <c r="A1626" s="3">
        <v>1621</v>
      </c>
      <c r="B1626" s="3" t="str">
        <f>"00526623"</f>
        <v>00526623</v>
      </c>
    </row>
    <row r="1627" spans="1:2" x14ac:dyDescent="0.25">
      <c r="A1627" s="3">
        <v>1622</v>
      </c>
      <c r="B1627" s="3" t="str">
        <f>"00526823"</f>
        <v>00526823</v>
      </c>
    </row>
    <row r="1628" spans="1:2" x14ac:dyDescent="0.25">
      <c r="A1628" s="3">
        <v>1623</v>
      </c>
      <c r="B1628" s="3" t="str">
        <f>"00526863"</f>
        <v>00526863</v>
      </c>
    </row>
    <row r="1629" spans="1:2" x14ac:dyDescent="0.25">
      <c r="A1629" s="3">
        <v>1624</v>
      </c>
      <c r="B1629" s="3" t="str">
        <f>"00526972"</f>
        <v>00526972</v>
      </c>
    </row>
    <row r="1630" spans="1:2" x14ac:dyDescent="0.25">
      <c r="A1630" s="3">
        <v>1625</v>
      </c>
      <c r="B1630" s="3" t="str">
        <f>"00527035"</f>
        <v>00527035</v>
      </c>
    </row>
    <row r="1631" spans="1:2" x14ac:dyDescent="0.25">
      <c r="A1631" s="3">
        <v>1626</v>
      </c>
      <c r="B1631" s="3" t="str">
        <f>"00527180"</f>
        <v>00527180</v>
      </c>
    </row>
    <row r="1632" spans="1:2" x14ac:dyDescent="0.25">
      <c r="A1632" s="3">
        <v>1627</v>
      </c>
      <c r="B1632" s="3" t="str">
        <f>"00527304"</f>
        <v>00527304</v>
      </c>
    </row>
    <row r="1633" spans="1:2" x14ac:dyDescent="0.25">
      <c r="A1633" s="3">
        <v>1628</v>
      </c>
      <c r="B1633" s="3" t="str">
        <f>"00527465"</f>
        <v>00527465</v>
      </c>
    </row>
    <row r="1634" spans="1:2" x14ac:dyDescent="0.25">
      <c r="A1634" s="3">
        <v>1629</v>
      </c>
      <c r="B1634" s="3" t="str">
        <f>"00527520"</f>
        <v>00527520</v>
      </c>
    </row>
    <row r="1635" spans="1:2" x14ac:dyDescent="0.25">
      <c r="A1635" s="3">
        <v>1630</v>
      </c>
      <c r="B1635" s="3" t="str">
        <f>"00527527"</f>
        <v>00527527</v>
      </c>
    </row>
    <row r="1636" spans="1:2" x14ac:dyDescent="0.25">
      <c r="A1636" s="3">
        <v>1631</v>
      </c>
      <c r="B1636" s="3" t="str">
        <f>"00527566"</f>
        <v>00527566</v>
      </c>
    </row>
    <row r="1637" spans="1:2" x14ac:dyDescent="0.25">
      <c r="A1637" s="3">
        <v>1632</v>
      </c>
      <c r="B1637" s="3" t="str">
        <f>"00527886"</f>
        <v>00527886</v>
      </c>
    </row>
    <row r="1638" spans="1:2" x14ac:dyDescent="0.25">
      <c r="A1638" s="3">
        <v>1633</v>
      </c>
      <c r="B1638" s="3" t="str">
        <f>"00527899"</f>
        <v>00527899</v>
      </c>
    </row>
    <row r="1639" spans="1:2" x14ac:dyDescent="0.25">
      <c r="A1639" s="3">
        <v>1634</v>
      </c>
      <c r="B1639" s="3" t="str">
        <f>"00527933"</f>
        <v>00527933</v>
      </c>
    </row>
    <row r="1640" spans="1:2" x14ac:dyDescent="0.25">
      <c r="A1640" s="3">
        <v>1635</v>
      </c>
      <c r="B1640" s="3" t="str">
        <f>"00527950"</f>
        <v>00527950</v>
      </c>
    </row>
    <row r="1641" spans="1:2" x14ac:dyDescent="0.25">
      <c r="A1641" s="3">
        <v>1636</v>
      </c>
      <c r="B1641" s="3" t="str">
        <f>"00527964"</f>
        <v>00527964</v>
      </c>
    </row>
    <row r="1642" spans="1:2" x14ac:dyDescent="0.25">
      <c r="A1642" s="3">
        <v>1637</v>
      </c>
      <c r="B1642" s="3" t="str">
        <f>"00528002"</f>
        <v>00528002</v>
      </c>
    </row>
    <row r="1643" spans="1:2" x14ac:dyDescent="0.25">
      <c r="A1643" s="3">
        <v>1638</v>
      </c>
      <c r="B1643" s="3" t="str">
        <f>"00528249"</f>
        <v>00528249</v>
      </c>
    </row>
    <row r="1644" spans="1:2" x14ac:dyDescent="0.25">
      <c r="A1644" s="3">
        <v>1639</v>
      </c>
      <c r="B1644" s="3" t="str">
        <f>"00528361"</f>
        <v>00528361</v>
      </c>
    </row>
    <row r="1645" spans="1:2" x14ac:dyDescent="0.25">
      <c r="A1645" s="3">
        <v>1640</v>
      </c>
      <c r="B1645" s="3" t="str">
        <f>"00528384"</f>
        <v>00528384</v>
      </c>
    </row>
    <row r="1646" spans="1:2" x14ac:dyDescent="0.25">
      <c r="A1646" s="3">
        <v>1641</v>
      </c>
      <c r="B1646" s="3" t="str">
        <f>"00528546"</f>
        <v>00528546</v>
      </c>
    </row>
    <row r="1647" spans="1:2" x14ac:dyDescent="0.25">
      <c r="A1647" s="3">
        <v>1642</v>
      </c>
      <c r="B1647" s="3" t="str">
        <f>"00528610"</f>
        <v>00528610</v>
      </c>
    </row>
    <row r="1648" spans="1:2" x14ac:dyDescent="0.25">
      <c r="A1648" s="3">
        <v>1643</v>
      </c>
      <c r="B1648" s="3" t="str">
        <f>"00528619"</f>
        <v>00528619</v>
      </c>
    </row>
    <row r="1649" spans="1:2" x14ac:dyDescent="0.25">
      <c r="A1649" s="3">
        <v>1644</v>
      </c>
      <c r="B1649" s="3" t="str">
        <f>"00528683"</f>
        <v>00528683</v>
      </c>
    </row>
    <row r="1650" spans="1:2" x14ac:dyDescent="0.25">
      <c r="A1650" s="3">
        <v>1645</v>
      </c>
      <c r="B1650" s="3" t="str">
        <f>"00528751"</f>
        <v>00528751</v>
      </c>
    </row>
    <row r="1651" spans="1:2" x14ac:dyDescent="0.25">
      <c r="A1651" s="3">
        <v>1646</v>
      </c>
      <c r="B1651" s="3" t="str">
        <f>"00528794"</f>
        <v>00528794</v>
      </c>
    </row>
    <row r="1652" spans="1:2" x14ac:dyDescent="0.25">
      <c r="A1652" s="3">
        <v>1647</v>
      </c>
      <c r="B1652" s="3" t="str">
        <f>"00528855"</f>
        <v>00528855</v>
      </c>
    </row>
    <row r="1653" spans="1:2" x14ac:dyDescent="0.25">
      <c r="A1653" s="3">
        <v>1648</v>
      </c>
      <c r="B1653" s="3" t="str">
        <f>"00528903"</f>
        <v>00528903</v>
      </c>
    </row>
    <row r="1654" spans="1:2" x14ac:dyDescent="0.25">
      <c r="A1654" s="3">
        <v>1649</v>
      </c>
      <c r="B1654" s="3" t="str">
        <f>"00528965"</f>
        <v>00528965</v>
      </c>
    </row>
    <row r="1655" spans="1:2" x14ac:dyDescent="0.25">
      <c r="A1655" s="3">
        <v>1650</v>
      </c>
      <c r="B1655" s="3" t="str">
        <f>"00529015"</f>
        <v>00529015</v>
      </c>
    </row>
    <row r="1656" spans="1:2" x14ac:dyDescent="0.25">
      <c r="A1656" s="3">
        <v>1651</v>
      </c>
      <c r="B1656" s="3" t="str">
        <f>"00529097"</f>
        <v>00529097</v>
      </c>
    </row>
    <row r="1657" spans="1:2" x14ac:dyDescent="0.25">
      <c r="A1657" s="3">
        <v>1652</v>
      </c>
      <c r="B1657" s="3" t="str">
        <f>"00529134"</f>
        <v>00529134</v>
      </c>
    </row>
    <row r="1658" spans="1:2" x14ac:dyDescent="0.25">
      <c r="A1658" s="3">
        <v>1653</v>
      </c>
      <c r="B1658" s="3" t="str">
        <f>"00529158"</f>
        <v>00529158</v>
      </c>
    </row>
    <row r="1659" spans="1:2" x14ac:dyDescent="0.25">
      <c r="A1659" s="3">
        <v>1654</v>
      </c>
      <c r="B1659" s="3" t="str">
        <f>"00529349"</f>
        <v>00529349</v>
      </c>
    </row>
    <row r="1660" spans="1:2" x14ac:dyDescent="0.25">
      <c r="A1660" s="3">
        <v>1655</v>
      </c>
      <c r="B1660" s="3" t="str">
        <f>"00529551"</f>
        <v>00529551</v>
      </c>
    </row>
    <row r="1661" spans="1:2" x14ac:dyDescent="0.25">
      <c r="A1661" s="3">
        <v>1656</v>
      </c>
      <c r="B1661" s="3" t="str">
        <f>"00529684"</f>
        <v>00529684</v>
      </c>
    </row>
    <row r="1662" spans="1:2" x14ac:dyDescent="0.25">
      <c r="A1662" s="3">
        <v>1657</v>
      </c>
      <c r="B1662" s="3" t="str">
        <f>"00529768"</f>
        <v>00529768</v>
      </c>
    </row>
    <row r="1663" spans="1:2" x14ac:dyDescent="0.25">
      <c r="A1663" s="3">
        <v>1658</v>
      </c>
      <c r="B1663" s="3" t="str">
        <f>"00529886"</f>
        <v>00529886</v>
      </c>
    </row>
    <row r="1664" spans="1:2" x14ac:dyDescent="0.25">
      <c r="A1664" s="3">
        <v>1659</v>
      </c>
      <c r="B1664" s="3" t="str">
        <f>"00529901"</f>
        <v>00529901</v>
      </c>
    </row>
    <row r="1665" spans="1:2" x14ac:dyDescent="0.25">
      <c r="A1665" s="3">
        <v>1660</v>
      </c>
      <c r="B1665" s="3" t="str">
        <f>"00529910"</f>
        <v>00529910</v>
      </c>
    </row>
    <row r="1666" spans="1:2" x14ac:dyDescent="0.25">
      <c r="A1666" s="3">
        <v>1661</v>
      </c>
      <c r="B1666" s="3" t="str">
        <f>"00529913"</f>
        <v>00529913</v>
      </c>
    </row>
    <row r="1667" spans="1:2" x14ac:dyDescent="0.25">
      <c r="A1667" s="3">
        <v>1662</v>
      </c>
      <c r="B1667" s="3" t="str">
        <f>"00529944"</f>
        <v>00529944</v>
      </c>
    </row>
    <row r="1668" spans="1:2" x14ac:dyDescent="0.25">
      <c r="A1668" s="3">
        <v>1663</v>
      </c>
      <c r="B1668" s="3" t="str">
        <f>"00529951"</f>
        <v>00529951</v>
      </c>
    </row>
    <row r="1669" spans="1:2" x14ac:dyDescent="0.25">
      <c r="A1669" s="3">
        <v>1664</v>
      </c>
      <c r="B1669" s="3" t="str">
        <f>"00529952"</f>
        <v>00529952</v>
      </c>
    </row>
    <row r="1670" spans="1:2" x14ac:dyDescent="0.25">
      <c r="A1670" s="3">
        <v>1665</v>
      </c>
      <c r="B1670" s="3" t="str">
        <f>"00529961"</f>
        <v>00529961</v>
      </c>
    </row>
    <row r="1671" spans="1:2" x14ac:dyDescent="0.25">
      <c r="A1671" s="3">
        <v>1666</v>
      </c>
      <c r="B1671" s="3" t="str">
        <f>"00529972"</f>
        <v>00529972</v>
      </c>
    </row>
    <row r="1672" spans="1:2" x14ac:dyDescent="0.25">
      <c r="A1672" s="3">
        <v>1667</v>
      </c>
      <c r="B1672" s="3" t="str">
        <f>"00529991"</f>
        <v>00529991</v>
      </c>
    </row>
    <row r="1673" spans="1:2" x14ac:dyDescent="0.25">
      <c r="A1673" s="3">
        <v>1668</v>
      </c>
      <c r="B1673" s="3" t="str">
        <f>"00529993"</f>
        <v>00529993</v>
      </c>
    </row>
    <row r="1674" spans="1:2" x14ac:dyDescent="0.25">
      <c r="A1674" s="3">
        <v>1669</v>
      </c>
      <c r="B1674" s="3" t="str">
        <f>"00530056"</f>
        <v>00530056</v>
      </c>
    </row>
    <row r="1675" spans="1:2" x14ac:dyDescent="0.25">
      <c r="A1675" s="3">
        <v>1670</v>
      </c>
      <c r="B1675" s="3" t="str">
        <f>"00530061"</f>
        <v>00530061</v>
      </c>
    </row>
    <row r="1676" spans="1:2" x14ac:dyDescent="0.25">
      <c r="A1676" s="3">
        <v>1671</v>
      </c>
      <c r="B1676" s="3" t="str">
        <f>"00530066"</f>
        <v>00530066</v>
      </c>
    </row>
    <row r="1677" spans="1:2" x14ac:dyDescent="0.25">
      <c r="A1677" s="3">
        <v>1672</v>
      </c>
      <c r="B1677" s="3" t="str">
        <f>"00530075"</f>
        <v>00530075</v>
      </c>
    </row>
    <row r="1678" spans="1:2" x14ac:dyDescent="0.25">
      <c r="A1678" s="3">
        <v>1673</v>
      </c>
      <c r="B1678" s="3" t="str">
        <f>"00530125"</f>
        <v>00530125</v>
      </c>
    </row>
    <row r="1679" spans="1:2" x14ac:dyDescent="0.25">
      <c r="A1679" s="3">
        <v>1674</v>
      </c>
      <c r="B1679" s="3" t="str">
        <f>"00530141"</f>
        <v>00530141</v>
      </c>
    </row>
    <row r="1680" spans="1:2" x14ac:dyDescent="0.25">
      <c r="A1680" s="3">
        <v>1675</v>
      </c>
      <c r="B1680" s="3" t="str">
        <f>"00530174"</f>
        <v>00530174</v>
      </c>
    </row>
    <row r="1681" spans="1:2" x14ac:dyDescent="0.25">
      <c r="A1681" s="3">
        <v>1676</v>
      </c>
      <c r="B1681" s="3" t="str">
        <f>"00530175"</f>
        <v>00530175</v>
      </c>
    </row>
    <row r="1682" spans="1:2" x14ac:dyDescent="0.25">
      <c r="A1682" s="3">
        <v>1677</v>
      </c>
      <c r="B1682" s="3" t="str">
        <f>"00530177"</f>
        <v>00530177</v>
      </c>
    </row>
    <row r="1683" spans="1:2" x14ac:dyDescent="0.25">
      <c r="A1683" s="3">
        <v>1678</v>
      </c>
      <c r="B1683" s="3" t="str">
        <f>"00530194"</f>
        <v>00530194</v>
      </c>
    </row>
    <row r="1684" spans="1:2" x14ac:dyDescent="0.25">
      <c r="A1684" s="3">
        <v>1679</v>
      </c>
      <c r="B1684" s="3" t="str">
        <f>"00530198"</f>
        <v>00530198</v>
      </c>
    </row>
    <row r="1685" spans="1:2" x14ac:dyDescent="0.25">
      <c r="A1685" s="3">
        <v>1680</v>
      </c>
      <c r="B1685" s="3" t="str">
        <f>"00530280"</f>
        <v>00530280</v>
      </c>
    </row>
    <row r="1686" spans="1:2" x14ac:dyDescent="0.25">
      <c r="A1686" s="3">
        <v>1681</v>
      </c>
      <c r="B1686" s="3" t="str">
        <f>"00530304"</f>
        <v>00530304</v>
      </c>
    </row>
    <row r="1687" spans="1:2" x14ac:dyDescent="0.25">
      <c r="A1687" s="3">
        <v>1682</v>
      </c>
      <c r="B1687" s="3" t="str">
        <f>"00530325"</f>
        <v>00530325</v>
      </c>
    </row>
    <row r="1688" spans="1:2" x14ac:dyDescent="0.25">
      <c r="A1688" s="3">
        <v>1683</v>
      </c>
      <c r="B1688" s="3" t="str">
        <f>"00530326"</f>
        <v>00530326</v>
      </c>
    </row>
    <row r="1689" spans="1:2" x14ac:dyDescent="0.25">
      <c r="A1689" s="3">
        <v>1684</v>
      </c>
      <c r="B1689" s="3" t="str">
        <f>"00530331"</f>
        <v>00530331</v>
      </c>
    </row>
    <row r="1690" spans="1:2" x14ac:dyDescent="0.25">
      <c r="A1690" s="3">
        <v>1685</v>
      </c>
      <c r="B1690" s="3" t="str">
        <f>"00530415"</f>
        <v>00530415</v>
      </c>
    </row>
    <row r="1691" spans="1:2" x14ac:dyDescent="0.25">
      <c r="A1691" s="3">
        <v>1686</v>
      </c>
      <c r="B1691" s="3" t="str">
        <f>"00530450"</f>
        <v>00530450</v>
      </c>
    </row>
    <row r="1692" spans="1:2" x14ac:dyDescent="0.25">
      <c r="A1692" s="3">
        <v>1687</v>
      </c>
      <c r="B1692" s="3" t="str">
        <f>"00530475"</f>
        <v>00530475</v>
      </c>
    </row>
    <row r="1693" spans="1:2" x14ac:dyDescent="0.25">
      <c r="A1693" s="3">
        <v>1688</v>
      </c>
      <c r="B1693" s="3" t="str">
        <f>"00530485"</f>
        <v>00530485</v>
      </c>
    </row>
    <row r="1694" spans="1:2" x14ac:dyDescent="0.25">
      <c r="A1694" s="3">
        <v>1689</v>
      </c>
      <c r="B1694" s="3" t="str">
        <f>"00530496"</f>
        <v>00530496</v>
      </c>
    </row>
    <row r="1695" spans="1:2" x14ac:dyDescent="0.25">
      <c r="A1695" s="3">
        <v>1690</v>
      </c>
      <c r="B1695" s="3" t="str">
        <f>"00530503"</f>
        <v>00530503</v>
      </c>
    </row>
    <row r="1696" spans="1:2" x14ac:dyDescent="0.25">
      <c r="A1696" s="3">
        <v>1691</v>
      </c>
      <c r="B1696" s="3" t="str">
        <f>"00530516"</f>
        <v>00530516</v>
      </c>
    </row>
    <row r="1697" spans="1:2" x14ac:dyDescent="0.25">
      <c r="A1697" s="3">
        <v>1692</v>
      </c>
      <c r="B1697" s="3" t="str">
        <f>"00530567"</f>
        <v>00530567</v>
      </c>
    </row>
    <row r="1698" spans="1:2" x14ac:dyDescent="0.25">
      <c r="A1698" s="3">
        <v>1693</v>
      </c>
      <c r="B1698" s="3" t="str">
        <f>"00530577"</f>
        <v>00530577</v>
      </c>
    </row>
    <row r="1699" spans="1:2" x14ac:dyDescent="0.25">
      <c r="A1699" s="3">
        <v>1694</v>
      </c>
      <c r="B1699" s="3" t="str">
        <f>"00530631"</f>
        <v>00530631</v>
      </c>
    </row>
    <row r="1700" spans="1:2" x14ac:dyDescent="0.25">
      <c r="A1700" s="3">
        <v>1695</v>
      </c>
      <c r="B1700" s="3" t="str">
        <f>"00530635"</f>
        <v>00530635</v>
      </c>
    </row>
    <row r="1701" spans="1:2" x14ac:dyDescent="0.25">
      <c r="A1701" s="3">
        <v>1696</v>
      </c>
      <c r="B1701" s="3" t="str">
        <f>"00530640"</f>
        <v>00530640</v>
      </c>
    </row>
    <row r="1702" spans="1:2" x14ac:dyDescent="0.25">
      <c r="A1702" s="3">
        <v>1697</v>
      </c>
      <c r="B1702" s="3" t="str">
        <f>"00530646"</f>
        <v>00530646</v>
      </c>
    </row>
    <row r="1703" spans="1:2" x14ac:dyDescent="0.25">
      <c r="A1703" s="3">
        <v>1698</v>
      </c>
      <c r="B1703" s="3" t="str">
        <f>"00530659"</f>
        <v>00530659</v>
      </c>
    </row>
    <row r="1704" spans="1:2" x14ac:dyDescent="0.25">
      <c r="A1704" s="3">
        <v>1699</v>
      </c>
      <c r="B1704" s="3" t="str">
        <f>"00530692"</f>
        <v>00530692</v>
      </c>
    </row>
    <row r="1705" spans="1:2" x14ac:dyDescent="0.25">
      <c r="A1705" s="3">
        <v>1700</v>
      </c>
      <c r="B1705" s="3" t="str">
        <f>"00530722"</f>
        <v>00530722</v>
      </c>
    </row>
    <row r="1706" spans="1:2" x14ac:dyDescent="0.25">
      <c r="A1706" s="3">
        <v>1701</v>
      </c>
      <c r="B1706" s="3" t="str">
        <f>"00530762"</f>
        <v>00530762</v>
      </c>
    </row>
    <row r="1707" spans="1:2" x14ac:dyDescent="0.25">
      <c r="A1707" s="3">
        <v>1702</v>
      </c>
      <c r="B1707" s="3" t="str">
        <f>"00530772"</f>
        <v>00530772</v>
      </c>
    </row>
    <row r="1708" spans="1:2" x14ac:dyDescent="0.25">
      <c r="A1708" s="3">
        <v>1703</v>
      </c>
      <c r="B1708" s="3" t="str">
        <f>"00530778"</f>
        <v>00530778</v>
      </c>
    </row>
    <row r="1709" spans="1:2" x14ac:dyDescent="0.25">
      <c r="A1709" s="3">
        <v>1704</v>
      </c>
      <c r="B1709" s="3" t="str">
        <f>"00530796"</f>
        <v>00530796</v>
      </c>
    </row>
    <row r="1710" spans="1:2" x14ac:dyDescent="0.25">
      <c r="A1710" s="3">
        <v>1705</v>
      </c>
      <c r="B1710" s="3" t="str">
        <f>"00530797"</f>
        <v>00530797</v>
      </c>
    </row>
    <row r="1711" spans="1:2" x14ac:dyDescent="0.25">
      <c r="A1711" s="3">
        <v>1706</v>
      </c>
      <c r="B1711" s="3" t="str">
        <f>"00530803"</f>
        <v>00530803</v>
      </c>
    </row>
    <row r="1712" spans="1:2" x14ac:dyDescent="0.25">
      <c r="A1712" s="3">
        <v>1707</v>
      </c>
      <c r="B1712" s="3" t="str">
        <f>"00530805"</f>
        <v>00530805</v>
      </c>
    </row>
    <row r="1713" spans="1:2" x14ac:dyDescent="0.25">
      <c r="A1713" s="3">
        <v>1708</v>
      </c>
      <c r="B1713" s="3" t="str">
        <f>"00530856"</f>
        <v>00530856</v>
      </c>
    </row>
    <row r="1714" spans="1:2" x14ac:dyDescent="0.25">
      <c r="A1714" s="3">
        <v>1709</v>
      </c>
      <c r="B1714" s="3" t="str">
        <f>"00530862"</f>
        <v>00530862</v>
      </c>
    </row>
    <row r="1715" spans="1:2" x14ac:dyDescent="0.25">
      <c r="A1715" s="3">
        <v>1710</v>
      </c>
      <c r="B1715" s="3" t="str">
        <f>"00530866"</f>
        <v>00530866</v>
      </c>
    </row>
    <row r="1716" spans="1:2" x14ac:dyDescent="0.25">
      <c r="A1716" s="3">
        <v>1711</v>
      </c>
      <c r="B1716" s="3" t="str">
        <f>"00530878"</f>
        <v>00530878</v>
      </c>
    </row>
    <row r="1717" spans="1:2" x14ac:dyDescent="0.25">
      <c r="A1717" s="3">
        <v>1712</v>
      </c>
      <c r="B1717" s="3" t="str">
        <f>"00530885"</f>
        <v>00530885</v>
      </c>
    </row>
    <row r="1718" spans="1:2" x14ac:dyDescent="0.25">
      <c r="A1718" s="3">
        <v>1713</v>
      </c>
      <c r="B1718" s="3" t="str">
        <f>"00530891"</f>
        <v>00530891</v>
      </c>
    </row>
    <row r="1719" spans="1:2" x14ac:dyDescent="0.25">
      <c r="A1719" s="3">
        <v>1714</v>
      </c>
      <c r="B1719" s="3" t="str">
        <f>"00530895"</f>
        <v>00530895</v>
      </c>
    </row>
    <row r="1720" spans="1:2" x14ac:dyDescent="0.25">
      <c r="A1720" s="3">
        <v>1715</v>
      </c>
      <c r="B1720" s="3" t="str">
        <f>"00530897"</f>
        <v>00530897</v>
      </c>
    </row>
    <row r="1721" spans="1:2" x14ac:dyDescent="0.25">
      <c r="A1721" s="3">
        <v>1716</v>
      </c>
      <c r="B1721" s="3" t="str">
        <f>"00530929"</f>
        <v>00530929</v>
      </c>
    </row>
    <row r="1722" spans="1:2" x14ac:dyDescent="0.25">
      <c r="A1722" s="3">
        <v>1717</v>
      </c>
      <c r="B1722" s="3" t="str">
        <f>"00530946"</f>
        <v>00530946</v>
      </c>
    </row>
    <row r="1723" spans="1:2" x14ac:dyDescent="0.25">
      <c r="A1723" s="3">
        <v>1718</v>
      </c>
      <c r="B1723" s="3" t="str">
        <f>"00530951"</f>
        <v>00530951</v>
      </c>
    </row>
    <row r="1724" spans="1:2" x14ac:dyDescent="0.25">
      <c r="A1724" s="3">
        <v>1719</v>
      </c>
      <c r="B1724" s="3" t="str">
        <f>"00530969"</f>
        <v>00530969</v>
      </c>
    </row>
    <row r="1725" spans="1:2" x14ac:dyDescent="0.25">
      <c r="A1725" s="3">
        <v>1720</v>
      </c>
      <c r="B1725" s="3" t="str">
        <f>"00530972"</f>
        <v>00530972</v>
      </c>
    </row>
    <row r="1726" spans="1:2" x14ac:dyDescent="0.25">
      <c r="A1726" s="3">
        <v>1721</v>
      </c>
      <c r="B1726" s="3" t="str">
        <f>"00531014"</f>
        <v>00531014</v>
      </c>
    </row>
    <row r="1727" spans="1:2" x14ac:dyDescent="0.25">
      <c r="A1727" s="3">
        <v>1722</v>
      </c>
      <c r="B1727" s="3" t="str">
        <f>"00531035"</f>
        <v>00531035</v>
      </c>
    </row>
    <row r="1728" spans="1:2" x14ac:dyDescent="0.25">
      <c r="A1728" s="3">
        <v>1723</v>
      </c>
      <c r="B1728" s="3" t="str">
        <f>"00531048"</f>
        <v>00531048</v>
      </c>
    </row>
    <row r="1729" spans="1:2" x14ac:dyDescent="0.25">
      <c r="A1729" s="3">
        <v>1724</v>
      </c>
      <c r="B1729" s="3" t="str">
        <f>"00531060"</f>
        <v>00531060</v>
      </c>
    </row>
    <row r="1730" spans="1:2" x14ac:dyDescent="0.25">
      <c r="A1730" s="3">
        <v>1725</v>
      </c>
      <c r="B1730" s="3" t="str">
        <f>"00531067"</f>
        <v>00531067</v>
      </c>
    </row>
    <row r="1731" spans="1:2" x14ac:dyDescent="0.25">
      <c r="A1731" s="3">
        <v>1726</v>
      </c>
      <c r="B1731" s="3" t="str">
        <f>"00531110"</f>
        <v>00531110</v>
      </c>
    </row>
    <row r="1732" spans="1:2" x14ac:dyDescent="0.25">
      <c r="A1732" s="3">
        <v>1727</v>
      </c>
      <c r="B1732" s="3" t="str">
        <f>"00531143"</f>
        <v>00531143</v>
      </c>
    </row>
    <row r="1733" spans="1:2" x14ac:dyDescent="0.25">
      <c r="A1733" s="3">
        <v>1728</v>
      </c>
      <c r="B1733" s="3" t="str">
        <f>"00531159"</f>
        <v>00531159</v>
      </c>
    </row>
    <row r="1734" spans="1:2" x14ac:dyDescent="0.25">
      <c r="A1734" s="3">
        <v>1729</v>
      </c>
      <c r="B1734" s="3" t="str">
        <f>"00531187"</f>
        <v>00531187</v>
      </c>
    </row>
    <row r="1735" spans="1:2" x14ac:dyDescent="0.25">
      <c r="A1735" s="3">
        <v>1730</v>
      </c>
      <c r="B1735" s="3" t="str">
        <f>"00531190"</f>
        <v>00531190</v>
      </c>
    </row>
    <row r="1736" spans="1:2" x14ac:dyDescent="0.25">
      <c r="A1736" s="3">
        <v>1731</v>
      </c>
      <c r="B1736" s="3" t="str">
        <f>"00531196"</f>
        <v>00531196</v>
      </c>
    </row>
    <row r="1737" spans="1:2" x14ac:dyDescent="0.25">
      <c r="A1737" s="3">
        <v>1732</v>
      </c>
      <c r="B1737" s="3" t="str">
        <f>"00531202"</f>
        <v>00531202</v>
      </c>
    </row>
    <row r="1738" spans="1:2" x14ac:dyDescent="0.25">
      <c r="A1738" s="3">
        <v>1733</v>
      </c>
      <c r="B1738" s="3" t="str">
        <f>"00531227"</f>
        <v>00531227</v>
      </c>
    </row>
    <row r="1739" spans="1:2" x14ac:dyDescent="0.25">
      <c r="A1739" s="3">
        <v>1734</v>
      </c>
      <c r="B1739" s="3" t="str">
        <f>"00531287"</f>
        <v>00531287</v>
      </c>
    </row>
    <row r="1740" spans="1:2" x14ac:dyDescent="0.25">
      <c r="A1740" s="3">
        <v>1735</v>
      </c>
      <c r="B1740" s="3" t="str">
        <f>"00531292"</f>
        <v>00531292</v>
      </c>
    </row>
    <row r="1741" spans="1:2" x14ac:dyDescent="0.25">
      <c r="A1741" s="3">
        <v>1736</v>
      </c>
      <c r="B1741" s="3" t="str">
        <f>"00531381"</f>
        <v>00531381</v>
      </c>
    </row>
    <row r="1742" spans="1:2" x14ac:dyDescent="0.25">
      <c r="A1742" s="3">
        <v>1737</v>
      </c>
      <c r="B1742" s="3" t="str">
        <f>"00531388"</f>
        <v>00531388</v>
      </c>
    </row>
    <row r="1743" spans="1:2" x14ac:dyDescent="0.25">
      <c r="A1743" s="3">
        <v>1738</v>
      </c>
      <c r="B1743" s="3" t="str">
        <f>"00531413"</f>
        <v>00531413</v>
      </c>
    </row>
    <row r="1744" spans="1:2" x14ac:dyDescent="0.25">
      <c r="A1744" s="3">
        <v>1739</v>
      </c>
      <c r="B1744" s="3" t="str">
        <f>"00531481"</f>
        <v>00531481</v>
      </c>
    </row>
    <row r="1745" spans="1:2" x14ac:dyDescent="0.25">
      <c r="A1745" s="3">
        <v>1740</v>
      </c>
      <c r="B1745" s="3" t="str">
        <f>"00531493"</f>
        <v>00531493</v>
      </c>
    </row>
    <row r="1746" spans="1:2" x14ac:dyDescent="0.25">
      <c r="A1746" s="3">
        <v>1741</v>
      </c>
      <c r="B1746" s="3" t="str">
        <f>"00531518"</f>
        <v>00531518</v>
      </c>
    </row>
    <row r="1747" spans="1:2" x14ac:dyDescent="0.25">
      <c r="A1747" s="3">
        <v>1742</v>
      </c>
      <c r="B1747" s="3" t="str">
        <f>"00531527"</f>
        <v>00531527</v>
      </c>
    </row>
    <row r="1748" spans="1:2" x14ac:dyDescent="0.25">
      <c r="A1748" s="3">
        <v>1743</v>
      </c>
      <c r="B1748" s="3" t="str">
        <f>"00531532"</f>
        <v>00531532</v>
      </c>
    </row>
    <row r="1749" spans="1:2" x14ac:dyDescent="0.25">
      <c r="A1749" s="3">
        <v>1744</v>
      </c>
      <c r="B1749" s="3" t="str">
        <f>"00531543"</f>
        <v>00531543</v>
      </c>
    </row>
    <row r="1750" spans="1:2" x14ac:dyDescent="0.25">
      <c r="A1750" s="3">
        <v>1745</v>
      </c>
      <c r="B1750" s="3" t="str">
        <f>"00531587"</f>
        <v>00531587</v>
      </c>
    </row>
    <row r="1751" spans="1:2" x14ac:dyDescent="0.25">
      <c r="A1751" s="3">
        <v>1746</v>
      </c>
      <c r="B1751" s="3" t="str">
        <f>"00531594"</f>
        <v>00531594</v>
      </c>
    </row>
    <row r="1752" spans="1:2" x14ac:dyDescent="0.25">
      <c r="A1752" s="3">
        <v>1747</v>
      </c>
      <c r="B1752" s="3" t="str">
        <f>"00531615"</f>
        <v>00531615</v>
      </c>
    </row>
    <row r="1753" spans="1:2" x14ac:dyDescent="0.25">
      <c r="A1753" s="3">
        <v>1748</v>
      </c>
      <c r="B1753" s="3" t="str">
        <f>"00531705"</f>
        <v>00531705</v>
      </c>
    </row>
    <row r="1754" spans="1:2" x14ac:dyDescent="0.25">
      <c r="A1754" s="3">
        <v>1749</v>
      </c>
      <c r="B1754" s="3" t="str">
        <f>"00531739"</f>
        <v>00531739</v>
      </c>
    </row>
    <row r="1755" spans="1:2" x14ac:dyDescent="0.25">
      <c r="A1755" s="3">
        <v>1750</v>
      </c>
      <c r="B1755" s="3" t="str">
        <f>"00531754"</f>
        <v>00531754</v>
      </c>
    </row>
    <row r="1756" spans="1:2" x14ac:dyDescent="0.25">
      <c r="A1756" s="3">
        <v>1751</v>
      </c>
      <c r="B1756" s="3" t="str">
        <f>"00531782"</f>
        <v>00531782</v>
      </c>
    </row>
    <row r="1757" spans="1:2" x14ac:dyDescent="0.25">
      <c r="A1757" s="3">
        <v>1752</v>
      </c>
      <c r="B1757" s="3" t="str">
        <f>"00531841"</f>
        <v>00531841</v>
      </c>
    </row>
    <row r="1758" spans="1:2" x14ac:dyDescent="0.25">
      <c r="A1758" s="3">
        <v>1753</v>
      </c>
      <c r="B1758" s="3" t="str">
        <f>"00531856"</f>
        <v>00531856</v>
      </c>
    </row>
    <row r="1759" spans="1:2" x14ac:dyDescent="0.25">
      <c r="A1759" s="3">
        <v>1754</v>
      </c>
      <c r="B1759" s="3" t="str">
        <f>"00531865"</f>
        <v>00531865</v>
      </c>
    </row>
    <row r="1760" spans="1:2" x14ac:dyDescent="0.25">
      <c r="A1760" s="3">
        <v>1755</v>
      </c>
      <c r="B1760" s="3" t="str">
        <f>"00531942"</f>
        <v>00531942</v>
      </c>
    </row>
    <row r="1761" spans="1:2" x14ac:dyDescent="0.25">
      <c r="A1761" s="3">
        <v>1756</v>
      </c>
      <c r="B1761" s="3" t="str">
        <f>"00531987"</f>
        <v>00531987</v>
      </c>
    </row>
    <row r="1762" spans="1:2" x14ac:dyDescent="0.25">
      <c r="A1762" s="3">
        <v>1757</v>
      </c>
      <c r="B1762" s="3" t="str">
        <f>"00532056"</f>
        <v>00532056</v>
      </c>
    </row>
    <row r="1763" spans="1:2" x14ac:dyDescent="0.25">
      <c r="A1763" s="3">
        <v>1758</v>
      </c>
      <c r="B1763" s="3" t="str">
        <f>"00532063"</f>
        <v>00532063</v>
      </c>
    </row>
    <row r="1764" spans="1:2" x14ac:dyDescent="0.25">
      <c r="A1764" s="3">
        <v>1759</v>
      </c>
      <c r="B1764" s="3" t="str">
        <f>"00532086"</f>
        <v>00532086</v>
      </c>
    </row>
    <row r="1765" spans="1:2" x14ac:dyDescent="0.25">
      <c r="A1765" s="3">
        <v>1760</v>
      </c>
      <c r="B1765" s="3" t="str">
        <f>"00532088"</f>
        <v>00532088</v>
      </c>
    </row>
    <row r="1766" spans="1:2" x14ac:dyDescent="0.25">
      <c r="A1766" s="3">
        <v>1761</v>
      </c>
      <c r="B1766" s="3" t="str">
        <f>"00532109"</f>
        <v>00532109</v>
      </c>
    </row>
    <row r="1767" spans="1:2" x14ac:dyDescent="0.25">
      <c r="A1767" s="3">
        <v>1762</v>
      </c>
      <c r="B1767" s="3" t="str">
        <f>"00532168"</f>
        <v>00532168</v>
      </c>
    </row>
    <row r="1768" spans="1:2" x14ac:dyDescent="0.25">
      <c r="A1768" s="3">
        <v>1763</v>
      </c>
      <c r="B1768" s="3" t="str">
        <f>"00532172"</f>
        <v>00532172</v>
      </c>
    </row>
    <row r="1769" spans="1:2" x14ac:dyDescent="0.25">
      <c r="A1769" s="3">
        <v>1764</v>
      </c>
      <c r="B1769" s="3" t="str">
        <f>"00532228"</f>
        <v>00532228</v>
      </c>
    </row>
    <row r="1770" spans="1:2" x14ac:dyDescent="0.25">
      <c r="A1770" s="3">
        <v>1765</v>
      </c>
      <c r="B1770" s="3" t="str">
        <f>"00532256"</f>
        <v>00532256</v>
      </c>
    </row>
    <row r="1771" spans="1:2" x14ac:dyDescent="0.25">
      <c r="A1771" s="3">
        <v>1766</v>
      </c>
      <c r="B1771" s="3" t="str">
        <f>"00532273"</f>
        <v>00532273</v>
      </c>
    </row>
    <row r="1772" spans="1:2" x14ac:dyDescent="0.25">
      <c r="A1772" s="3">
        <v>1767</v>
      </c>
      <c r="B1772" s="3" t="str">
        <f>"00532278"</f>
        <v>00532278</v>
      </c>
    </row>
    <row r="1773" spans="1:2" x14ac:dyDescent="0.25">
      <c r="A1773" s="3">
        <v>1768</v>
      </c>
      <c r="B1773" s="3" t="str">
        <f>"00532300"</f>
        <v>00532300</v>
      </c>
    </row>
    <row r="1774" spans="1:2" x14ac:dyDescent="0.25">
      <c r="A1774" s="3">
        <v>1769</v>
      </c>
      <c r="B1774" s="3" t="str">
        <f>"00532343"</f>
        <v>00532343</v>
      </c>
    </row>
    <row r="1775" spans="1:2" x14ac:dyDescent="0.25">
      <c r="A1775" s="3">
        <v>1770</v>
      </c>
      <c r="B1775" s="3" t="str">
        <f>"00532358"</f>
        <v>00532358</v>
      </c>
    </row>
    <row r="1776" spans="1:2" x14ac:dyDescent="0.25">
      <c r="A1776" s="3">
        <v>1771</v>
      </c>
      <c r="B1776" s="3" t="str">
        <f>"00532380"</f>
        <v>00532380</v>
      </c>
    </row>
    <row r="1777" spans="1:2" x14ac:dyDescent="0.25">
      <c r="A1777" s="3">
        <v>1772</v>
      </c>
      <c r="B1777" s="3" t="str">
        <f>"00532381"</f>
        <v>00532381</v>
      </c>
    </row>
    <row r="1778" spans="1:2" x14ac:dyDescent="0.25">
      <c r="A1778" s="3">
        <v>1773</v>
      </c>
      <c r="B1778" s="3" t="str">
        <f>"00532385"</f>
        <v>00532385</v>
      </c>
    </row>
    <row r="1779" spans="1:2" x14ac:dyDescent="0.25">
      <c r="A1779" s="3">
        <v>1774</v>
      </c>
      <c r="B1779" s="3" t="str">
        <f>"00532437"</f>
        <v>00532437</v>
      </c>
    </row>
    <row r="1780" spans="1:2" x14ac:dyDescent="0.25">
      <c r="A1780" s="3">
        <v>1775</v>
      </c>
      <c r="B1780" s="3" t="str">
        <f>"00532465"</f>
        <v>00532465</v>
      </c>
    </row>
    <row r="1781" spans="1:2" x14ac:dyDescent="0.25">
      <c r="A1781" s="3">
        <v>1776</v>
      </c>
      <c r="B1781" s="3" t="str">
        <f>"00532487"</f>
        <v>00532487</v>
      </c>
    </row>
    <row r="1782" spans="1:2" x14ac:dyDescent="0.25">
      <c r="A1782" s="3">
        <v>1777</v>
      </c>
      <c r="B1782" s="3" t="str">
        <f>"00532500"</f>
        <v>00532500</v>
      </c>
    </row>
    <row r="1783" spans="1:2" x14ac:dyDescent="0.25">
      <c r="A1783" s="3">
        <v>1778</v>
      </c>
      <c r="B1783" s="3" t="str">
        <f>"00532574"</f>
        <v>00532574</v>
      </c>
    </row>
    <row r="1784" spans="1:2" x14ac:dyDescent="0.25">
      <c r="A1784" s="3">
        <v>1779</v>
      </c>
      <c r="B1784" s="3" t="str">
        <f>"00532648"</f>
        <v>00532648</v>
      </c>
    </row>
    <row r="1785" spans="1:2" x14ac:dyDescent="0.25">
      <c r="A1785" s="3">
        <v>1780</v>
      </c>
      <c r="B1785" s="3" t="str">
        <f>"00532666"</f>
        <v>00532666</v>
      </c>
    </row>
    <row r="1786" spans="1:2" x14ac:dyDescent="0.25">
      <c r="A1786" s="3">
        <v>1781</v>
      </c>
      <c r="B1786" s="3" t="str">
        <f>"00532727"</f>
        <v>00532727</v>
      </c>
    </row>
    <row r="1787" spans="1:2" x14ac:dyDescent="0.25">
      <c r="A1787" s="3">
        <v>1782</v>
      </c>
      <c r="B1787" s="3" t="str">
        <f>"00532785"</f>
        <v>00532785</v>
      </c>
    </row>
    <row r="1788" spans="1:2" x14ac:dyDescent="0.25">
      <c r="A1788" s="3">
        <v>1783</v>
      </c>
      <c r="B1788" s="3" t="str">
        <f>"00532804"</f>
        <v>00532804</v>
      </c>
    </row>
    <row r="1789" spans="1:2" x14ac:dyDescent="0.25">
      <c r="A1789" s="3">
        <v>1784</v>
      </c>
      <c r="B1789" s="3" t="str">
        <f>"00532826"</f>
        <v>00532826</v>
      </c>
    </row>
    <row r="1790" spans="1:2" x14ac:dyDescent="0.25">
      <c r="A1790" s="3">
        <v>1785</v>
      </c>
      <c r="B1790" s="3" t="str">
        <f>"00532830"</f>
        <v>00532830</v>
      </c>
    </row>
    <row r="1791" spans="1:2" x14ac:dyDescent="0.25">
      <c r="A1791" s="3">
        <v>1786</v>
      </c>
      <c r="B1791" s="3" t="str">
        <f>"00532850"</f>
        <v>00532850</v>
      </c>
    </row>
    <row r="1792" spans="1:2" x14ac:dyDescent="0.25">
      <c r="A1792" s="3">
        <v>1787</v>
      </c>
      <c r="B1792" s="3" t="str">
        <f>"00532893"</f>
        <v>00532893</v>
      </c>
    </row>
    <row r="1793" spans="1:2" x14ac:dyDescent="0.25">
      <c r="A1793" s="3">
        <v>1788</v>
      </c>
      <c r="B1793" s="3" t="str">
        <f>"00532907"</f>
        <v>00532907</v>
      </c>
    </row>
    <row r="1794" spans="1:2" x14ac:dyDescent="0.25">
      <c r="A1794" s="3">
        <v>1789</v>
      </c>
      <c r="B1794" s="3" t="str">
        <f>"00532929"</f>
        <v>00532929</v>
      </c>
    </row>
    <row r="1795" spans="1:2" x14ac:dyDescent="0.25">
      <c r="A1795" s="3">
        <v>1790</v>
      </c>
      <c r="B1795" s="3" t="str">
        <f>"00532949"</f>
        <v>00532949</v>
      </c>
    </row>
    <row r="1796" spans="1:2" x14ac:dyDescent="0.25">
      <c r="A1796" s="3">
        <v>1791</v>
      </c>
      <c r="B1796" s="3" t="str">
        <f>"00532985"</f>
        <v>00532985</v>
      </c>
    </row>
    <row r="1797" spans="1:2" x14ac:dyDescent="0.25">
      <c r="A1797" s="3">
        <v>1792</v>
      </c>
      <c r="B1797" s="3" t="str">
        <f>"00533032"</f>
        <v>00533032</v>
      </c>
    </row>
    <row r="1798" spans="1:2" x14ac:dyDescent="0.25">
      <c r="A1798" s="3">
        <v>1793</v>
      </c>
      <c r="B1798" s="3" t="str">
        <f>"00533054"</f>
        <v>00533054</v>
      </c>
    </row>
    <row r="1799" spans="1:2" x14ac:dyDescent="0.25">
      <c r="A1799" s="3">
        <v>1794</v>
      </c>
      <c r="B1799" s="3" t="str">
        <f>"00533082"</f>
        <v>00533082</v>
      </c>
    </row>
    <row r="1800" spans="1:2" x14ac:dyDescent="0.25">
      <c r="A1800" s="3">
        <v>1795</v>
      </c>
      <c r="B1800" s="3" t="str">
        <f>"00533179"</f>
        <v>00533179</v>
      </c>
    </row>
    <row r="1801" spans="1:2" x14ac:dyDescent="0.25">
      <c r="A1801" s="3">
        <v>1796</v>
      </c>
      <c r="B1801" s="3" t="str">
        <f>"00533243"</f>
        <v>00533243</v>
      </c>
    </row>
    <row r="1802" spans="1:2" x14ac:dyDescent="0.25">
      <c r="A1802" s="3">
        <v>1797</v>
      </c>
      <c r="B1802" s="3" t="str">
        <f>"00533253"</f>
        <v>00533253</v>
      </c>
    </row>
    <row r="1803" spans="1:2" x14ac:dyDescent="0.25">
      <c r="A1803" s="3">
        <v>1798</v>
      </c>
      <c r="B1803" s="3" t="str">
        <f>"00533261"</f>
        <v>00533261</v>
      </c>
    </row>
    <row r="1804" spans="1:2" x14ac:dyDescent="0.25">
      <c r="A1804" s="3">
        <v>1799</v>
      </c>
      <c r="B1804" s="3" t="str">
        <f>"00533271"</f>
        <v>00533271</v>
      </c>
    </row>
    <row r="1805" spans="1:2" x14ac:dyDescent="0.25">
      <c r="A1805" s="3">
        <v>1800</v>
      </c>
      <c r="B1805" s="3" t="str">
        <f>"00533509"</f>
        <v>00533509</v>
      </c>
    </row>
    <row r="1806" spans="1:2" x14ac:dyDescent="0.25">
      <c r="A1806" s="3">
        <v>1801</v>
      </c>
      <c r="B1806" s="3" t="str">
        <f>"00533520"</f>
        <v>00533520</v>
      </c>
    </row>
    <row r="1807" spans="1:2" x14ac:dyDescent="0.25">
      <c r="A1807" s="3">
        <v>1802</v>
      </c>
      <c r="B1807" s="3" t="str">
        <f>"00533543"</f>
        <v>00533543</v>
      </c>
    </row>
    <row r="1808" spans="1:2" x14ac:dyDescent="0.25">
      <c r="A1808" s="3">
        <v>1803</v>
      </c>
      <c r="B1808" s="3" t="str">
        <f>"00533601"</f>
        <v>00533601</v>
      </c>
    </row>
    <row r="1809" spans="1:2" x14ac:dyDescent="0.25">
      <c r="A1809" s="3">
        <v>1804</v>
      </c>
      <c r="B1809" s="3" t="str">
        <f>"00533688"</f>
        <v>00533688</v>
      </c>
    </row>
    <row r="1810" spans="1:2" x14ac:dyDescent="0.25">
      <c r="A1810" s="3">
        <v>1805</v>
      </c>
      <c r="B1810" s="3" t="str">
        <f>"00533694"</f>
        <v>00533694</v>
      </c>
    </row>
    <row r="1811" spans="1:2" x14ac:dyDescent="0.25">
      <c r="A1811" s="3">
        <v>1806</v>
      </c>
      <c r="B1811" s="3" t="str">
        <f>"00533723"</f>
        <v>00533723</v>
      </c>
    </row>
    <row r="1812" spans="1:2" x14ac:dyDescent="0.25">
      <c r="A1812" s="3">
        <v>1807</v>
      </c>
      <c r="B1812" s="3" t="str">
        <f>"00533746"</f>
        <v>00533746</v>
      </c>
    </row>
    <row r="1813" spans="1:2" x14ac:dyDescent="0.25">
      <c r="A1813" s="3">
        <v>1808</v>
      </c>
      <c r="B1813" s="3" t="str">
        <f>"00533786"</f>
        <v>00533786</v>
      </c>
    </row>
    <row r="1814" spans="1:2" x14ac:dyDescent="0.25">
      <c r="A1814" s="3">
        <v>1809</v>
      </c>
      <c r="B1814" s="3" t="str">
        <f>"00533864"</f>
        <v>00533864</v>
      </c>
    </row>
    <row r="1815" spans="1:2" x14ac:dyDescent="0.25">
      <c r="A1815" s="3">
        <v>1810</v>
      </c>
      <c r="B1815" s="3" t="str">
        <f>"00533892"</f>
        <v>00533892</v>
      </c>
    </row>
    <row r="1816" spans="1:2" x14ac:dyDescent="0.25">
      <c r="A1816" s="3">
        <v>1811</v>
      </c>
      <c r="B1816" s="3" t="str">
        <f>"00533942"</f>
        <v>00533942</v>
      </c>
    </row>
    <row r="1817" spans="1:2" x14ac:dyDescent="0.25">
      <c r="A1817" s="3">
        <v>1812</v>
      </c>
      <c r="B1817" s="3" t="str">
        <f>"00533947"</f>
        <v>00533947</v>
      </c>
    </row>
    <row r="1818" spans="1:2" x14ac:dyDescent="0.25">
      <c r="A1818" s="3">
        <v>1813</v>
      </c>
      <c r="B1818" s="3" t="str">
        <f>"00533991"</f>
        <v>00533991</v>
      </c>
    </row>
    <row r="1819" spans="1:2" x14ac:dyDescent="0.25">
      <c r="A1819" s="3">
        <v>1814</v>
      </c>
      <c r="B1819" s="3" t="str">
        <f>"00534029"</f>
        <v>00534029</v>
      </c>
    </row>
    <row r="1820" spans="1:2" x14ac:dyDescent="0.25">
      <c r="A1820" s="3">
        <v>1815</v>
      </c>
      <c r="B1820" s="3" t="str">
        <f>"00534088"</f>
        <v>00534088</v>
      </c>
    </row>
    <row r="1821" spans="1:2" x14ac:dyDescent="0.25">
      <c r="A1821" s="3">
        <v>1816</v>
      </c>
      <c r="B1821" s="3" t="str">
        <f>"00534199"</f>
        <v>00534199</v>
      </c>
    </row>
    <row r="1822" spans="1:2" x14ac:dyDescent="0.25">
      <c r="A1822" s="3">
        <v>1817</v>
      </c>
      <c r="B1822" s="3" t="str">
        <f>"00534294"</f>
        <v>00534294</v>
      </c>
    </row>
    <row r="1823" spans="1:2" x14ac:dyDescent="0.25">
      <c r="A1823" s="3">
        <v>1818</v>
      </c>
      <c r="B1823" s="3" t="str">
        <f>"00534305"</f>
        <v>00534305</v>
      </c>
    </row>
    <row r="1824" spans="1:2" x14ac:dyDescent="0.25">
      <c r="A1824" s="3">
        <v>1819</v>
      </c>
      <c r="B1824" s="3" t="str">
        <f>"00534335"</f>
        <v>00534335</v>
      </c>
    </row>
    <row r="1825" spans="1:2" x14ac:dyDescent="0.25">
      <c r="A1825" s="3">
        <v>1820</v>
      </c>
      <c r="B1825" s="3" t="str">
        <f>"00534465"</f>
        <v>00534465</v>
      </c>
    </row>
    <row r="1826" spans="1:2" x14ac:dyDescent="0.25">
      <c r="A1826" s="3">
        <v>1821</v>
      </c>
      <c r="B1826" s="3" t="str">
        <f>"00534792"</f>
        <v>00534792</v>
      </c>
    </row>
    <row r="1827" spans="1:2" x14ac:dyDescent="0.25">
      <c r="A1827" s="3">
        <v>1822</v>
      </c>
      <c r="B1827" s="3" t="str">
        <f>"00535198"</f>
        <v>00535198</v>
      </c>
    </row>
    <row r="1828" spans="1:2" x14ac:dyDescent="0.25">
      <c r="A1828" s="3">
        <v>1823</v>
      </c>
      <c r="B1828" s="3" t="str">
        <f>"00539117"</f>
        <v>00539117</v>
      </c>
    </row>
    <row r="1829" spans="1:2" x14ac:dyDescent="0.25">
      <c r="A1829" s="3">
        <v>1824</v>
      </c>
      <c r="B1829" s="3" t="str">
        <f>"00539388"</f>
        <v>00539388</v>
      </c>
    </row>
    <row r="1830" spans="1:2" x14ac:dyDescent="0.25">
      <c r="A1830" s="3">
        <v>1825</v>
      </c>
      <c r="B1830" s="3" t="str">
        <f>"00539451"</f>
        <v>00539451</v>
      </c>
    </row>
    <row r="1831" spans="1:2" x14ac:dyDescent="0.25">
      <c r="A1831" s="3">
        <v>1826</v>
      </c>
      <c r="B1831" s="3" t="str">
        <f>"00541421"</f>
        <v>00541421</v>
      </c>
    </row>
    <row r="1832" spans="1:2" x14ac:dyDescent="0.25">
      <c r="A1832" s="3">
        <v>1827</v>
      </c>
      <c r="B1832" s="3" t="str">
        <f>"00541424"</f>
        <v>00541424</v>
      </c>
    </row>
    <row r="1833" spans="1:2" x14ac:dyDescent="0.25">
      <c r="A1833" s="3">
        <v>1828</v>
      </c>
      <c r="B1833" s="3" t="str">
        <f>"00541528"</f>
        <v>00541528</v>
      </c>
    </row>
    <row r="1834" spans="1:2" x14ac:dyDescent="0.25">
      <c r="A1834" s="3">
        <v>1829</v>
      </c>
      <c r="B1834" s="3" t="str">
        <f>"00541603"</f>
        <v>00541603</v>
      </c>
    </row>
    <row r="1835" spans="1:2" x14ac:dyDescent="0.25">
      <c r="A1835" s="3">
        <v>1830</v>
      </c>
      <c r="B1835" s="3" t="str">
        <f>"00542131"</f>
        <v>00542131</v>
      </c>
    </row>
    <row r="1836" spans="1:2" x14ac:dyDescent="0.25">
      <c r="A1836" s="3">
        <v>1831</v>
      </c>
      <c r="B1836" s="3" t="str">
        <f>"00542265"</f>
        <v>00542265</v>
      </c>
    </row>
    <row r="1837" spans="1:2" x14ac:dyDescent="0.25">
      <c r="A1837" s="3">
        <v>1832</v>
      </c>
      <c r="B1837" s="3" t="str">
        <f>"00543049"</f>
        <v>00543049</v>
      </c>
    </row>
    <row r="1838" spans="1:2" x14ac:dyDescent="0.25">
      <c r="A1838" s="3">
        <v>1833</v>
      </c>
      <c r="B1838" s="3" t="str">
        <f>"00543050"</f>
        <v>00543050</v>
      </c>
    </row>
    <row r="1839" spans="1:2" x14ac:dyDescent="0.25">
      <c r="A1839" s="3">
        <v>1834</v>
      </c>
      <c r="B1839" s="3" t="str">
        <f>"00543673"</f>
        <v>00543673</v>
      </c>
    </row>
    <row r="1840" spans="1:2" x14ac:dyDescent="0.25">
      <c r="A1840" s="3">
        <v>1835</v>
      </c>
      <c r="B1840" s="3" t="str">
        <f>"00543949"</f>
        <v>00543949</v>
      </c>
    </row>
    <row r="1841" spans="1:2" x14ac:dyDescent="0.25">
      <c r="A1841" s="3">
        <v>1836</v>
      </c>
      <c r="B1841" s="3" t="str">
        <f>"00544228"</f>
        <v>00544228</v>
      </c>
    </row>
    <row r="1842" spans="1:2" x14ac:dyDescent="0.25">
      <c r="A1842" s="3">
        <v>1837</v>
      </c>
      <c r="B1842" s="3" t="str">
        <f>"00544490"</f>
        <v>00544490</v>
      </c>
    </row>
    <row r="1843" spans="1:2" x14ac:dyDescent="0.25">
      <c r="A1843" s="3">
        <v>1838</v>
      </c>
      <c r="B1843" s="3" t="str">
        <f>"00544827"</f>
        <v>00544827</v>
      </c>
    </row>
    <row r="1844" spans="1:2" x14ac:dyDescent="0.25">
      <c r="A1844" s="3">
        <v>1839</v>
      </c>
      <c r="B1844" s="3" t="str">
        <f>"00544858"</f>
        <v>00544858</v>
      </c>
    </row>
    <row r="1845" spans="1:2" x14ac:dyDescent="0.25">
      <c r="A1845" s="3">
        <v>1840</v>
      </c>
      <c r="B1845" s="3" t="str">
        <f>"00545022"</f>
        <v>00545022</v>
      </c>
    </row>
    <row r="1846" spans="1:2" x14ac:dyDescent="0.25">
      <c r="A1846" s="3">
        <v>1841</v>
      </c>
      <c r="B1846" s="3" t="str">
        <f>"00545097"</f>
        <v>00545097</v>
      </c>
    </row>
    <row r="1847" spans="1:2" x14ac:dyDescent="0.25">
      <c r="A1847" s="3">
        <v>1842</v>
      </c>
      <c r="B1847" s="3" t="str">
        <f>"00545164"</f>
        <v>00545164</v>
      </c>
    </row>
    <row r="1848" spans="1:2" x14ac:dyDescent="0.25">
      <c r="A1848" s="3">
        <v>1843</v>
      </c>
      <c r="B1848" s="3" t="str">
        <f>"00545380"</f>
        <v>00545380</v>
      </c>
    </row>
    <row r="1849" spans="1:2" x14ac:dyDescent="0.25">
      <c r="A1849" s="3">
        <v>1844</v>
      </c>
      <c r="B1849" s="3" t="str">
        <f>"00545906"</f>
        <v>00545906</v>
      </c>
    </row>
    <row r="1850" spans="1:2" x14ac:dyDescent="0.25">
      <c r="A1850" s="3">
        <v>1845</v>
      </c>
      <c r="B1850" s="3" t="str">
        <f>"00545947"</f>
        <v>00545947</v>
      </c>
    </row>
    <row r="1851" spans="1:2" x14ac:dyDescent="0.25">
      <c r="A1851" s="3">
        <v>1846</v>
      </c>
      <c r="B1851" s="3" t="str">
        <f>"00546062"</f>
        <v>00546062</v>
      </c>
    </row>
    <row r="1852" spans="1:2" x14ac:dyDescent="0.25">
      <c r="A1852" s="3">
        <v>1847</v>
      </c>
      <c r="B1852" s="3" t="str">
        <f>"00546080"</f>
        <v>00546080</v>
      </c>
    </row>
    <row r="1853" spans="1:2" x14ac:dyDescent="0.25">
      <c r="A1853" s="3">
        <v>1848</v>
      </c>
      <c r="B1853" s="3" t="str">
        <f>"00546148"</f>
        <v>00546148</v>
      </c>
    </row>
    <row r="1854" spans="1:2" x14ac:dyDescent="0.25">
      <c r="A1854" s="3">
        <v>1849</v>
      </c>
      <c r="B1854" s="3" t="str">
        <f>"00546261"</f>
        <v>00546261</v>
      </c>
    </row>
    <row r="1855" spans="1:2" x14ac:dyDescent="0.25">
      <c r="A1855" s="3">
        <v>1850</v>
      </c>
      <c r="B1855" s="3" t="str">
        <f>"00546566"</f>
        <v>00546566</v>
      </c>
    </row>
    <row r="1856" spans="1:2" x14ac:dyDescent="0.25">
      <c r="A1856" s="3">
        <v>1851</v>
      </c>
      <c r="B1856" s="3" t="str">
        <f>"00547704"</f>
        <v>00547704</v>
      </c>
    </row>
    <row r="1857" spans="1:2" x14ac:dyDescent="0.25">
      <c r="A1857" s="3">
        <v>1852</v>
      </c>
      <c r="B1857" s="3" t="str">
        <f>"00547997"</f>
        <v>00547997</v>
      </c>
    </row>
    <row r="1858" spans="1:2" x14ac:dyDescent="0.25">
      <c r="A1858" s="3">
        <v>1853</v>
      </c>
      <c r="B1858" s="3" t="str">
        <f>"00548072"</f>
        <v>00548072</v>
      </c>
    </row>
    <row r="1859" spans="1:2" x14ac:dyDescent="0.25">
      <c r="A1859" s="3">
        <v>1854</v>
      </c>
      <c r="B1859" s="3" t="str">
        <f>"00548546"</f>
        <v>00548546</v>
      </c>
    </row>
    <row r="1860" spans="1:2" x14ac:dyDescent="0.25">
      <c r="A1860" s="3">
        <v>1855</v>
      </c>
      <c r="B1860" s="3" t="str">
        <f>"00548844"</f>
        <v>00548844</v>
      </c>
    </row>
    <row r="1861" spans="1:2" x14ac:dyDescent="0.25">
      <c r="A1861" s="3">
        <v>1856</v>
      </c>
      <c r="B1861" s="3" t="str">
        <f>"00549192"</f>
        <v>00549192</v>
      </c>
    </row>
    <row r="1862" spans="1:2" x14ac:dyDescent="0.25">
      <c r="A1862" s="3">
        <v>1857</v>
      </c>
      <c r="B1862" s="3" t="str">
        <f>"00549372"</f>
        <v>00549372</v>
      </c>
    </row>
    <row r="1863" spans="1:2" x14ac:dyDescent="0.25">
      <c r="A1863" s="3">
        <v>1858</v>
      </c>
      <c r="B1863" s="3" t="str">
        <f>"00549800"</f>
        <v>00549800</v>
      </c>
    </row>
    <row r="1864" spans="1:2" x14ac:dyDescent="0.25">
      <c r="A1864" s="3">
        <v>1859</v>
      </c>
      <c r="B1864" s="3" t="str">
        <f>"00550668"</f>
        <v>00550668</v>
      </c>
    </row>
    <row r="1865" spans="1:2" x14ac:dyDescent="0.25">
      <c r="A1865" s="3">
        <v>1860</v>
      </c>
      <c r="B1865" s="3" t="str">
        <f>"00551386"</f>
        <v>00551386</v>
      </c>
    </row>
    <row r="1866" spans="1:2" x14ac:dyDescent="0.25">
      <c r="A1866" s="3">
        <v>1861</v>
      </c>
      <c r="B1866" s="3" t="str">
        <f>"00551546"</f>
        <v>00551546</v>
      </c>
    </row>
    <row r="1867" spans="1:2" x14ac:dyDescent="0.25">
      <c r="A1867" s="3">
        <v>1862</v>
      </c>
      <c r="B1867" s="3" t="str">
        <f>"00551974"</f>
        <v>00551974</v>
      </c>
    </row>
    <row r="1868" spans="1:2" x14ac:dyDescent="0.25">
      <c r="A1868" s="3">
        <v>1863</v>
      </c>
      <c r="B1868" s="3" t="str">
        <f>"00552008"</f>
        <v>00552008</v>
      </c>
    </row>
    <row r="1869" spans="1:2" x14ac:dyDescent="0.25">
      <c r="A1869" s="3">
        <v>1864</v>
      </c>
      <c r="B1869" s="3" t="str">
        <f>"00552036"</f>
        <v>00552036</v>
      </c>
    </row>
    <row r="1870" spans="1:2" x14ac:dyDescent="0.25">
      <c r="A1870" s="3">
        <v>1865</v>
      </c>
      <c r="B1870" s="3" t="str">
        <f>"00552118"</f>
        <v>00552118</v>
      </c>
    </row>
    <row r="1871" spans="1:2" x14ac:dyDescent="0.25">
      <c r="A1871" s="3">
        <v>1866</v>
      </c>
      <c r="B1871" s="3" t="str">
        <f>"00552134"</f>
        <v>00552134</v>
      </c>
    </row>
    <row r="1872" spans="1:2" x14ac:dyDescent="0.25">
      <c r="A1872" s="3">
        <v>1867</v>
      </c>
      <c r="B1872" s="3" t="str">
        <f>"00552292"</f>
        <v>00552292</v>
      </c>
    </row>
    <row r="1873" spans="1:2" x14ac:dyDescent="0.25">
      <c r="A1873" s="3">
        <v>1868</v>
      </c>
      <c r="B1873" s="3" t="str">
        <f>"00552297"</f>
        <v>00552297</v>
      </c>
    </row>
    <row r="1874" spans="1:2" x14ac:dyDescent="0.25">
      <c r="A1874" s="3">
        <v>1869</v>
      </c>
      <c r="B1874" s="3" t="str">
        <f>"00552386"</f>
        <v>00552386</v>
      </c>
    </row>
    <row r="1875" spans="1:2" x14ac:dyDescent="0.25">
      <c r="A1875" s="3">
        <v>1870</v>
      </c>
      <c r="B1875" s="3" t="str">
        <f>"00552396"</f>
        <v>00552396</v>
      </c>
    </row>
    <row r="1876" spans="1:2" x14ac:dyDescent="0.25">
      <c r="A1876" s="3">
        <v>1871</v>
      </c>
      <c r="B1876" s="3" t="str">
        <f>"00552495"</f>
        <v>00552495</v>
      </c>
    </row>
    <row r="1877" spans="1:2" x14ac:dyDescent="0.25">
      <c r="A1877" s="3">
        <v>1872</v>
      </c>
      <c r="B1877" s="3" t="str">
        <f>"00552584"</f>
        <v>00552584</v>
      </c>
    </row>
    <row r="1878" spans="1:2" x14ac:dyDescent="0.25">
      <c r="A1878" s="3">
        <v>1873</v>
      </c>
      <c r="B1878" s="3" t="str">
        <f>"00552823"</f>
        <v>00552823</v>
      </c>
    </row>
    <row r="1879" spans="1:2" x14ac:dyDescent="0.25">
      <c r="A1879" s="3">
        <v>1874</v>
      </c>
      <c r="B1879" s="3" t="str">
        <f>"00552937"</f>
        <v>00552937</v>
      </c>
    </row>
    <row r="1880" spans="1:2" x14ac:dyDescent="0.25">
      <c r="A1880" s="3">
        <v>1875</v>
      </c>
      <c r="B1880" s="3" t="str">
        <f>"00552971"</f>
        <v>00552971</v>
      </c>
    </row>
    <row r="1881" spans="1:2" x14ac:dyDescent="0.25">
      <c r="A1881" s="3">
        <v>1876</v>
      </c>
      <c r="B1881" s="3" t="str">
        <f>"00553310"</f>
        <v>00553310</v>
      </c>
    </row>
    <row r="1882" spans="1:2" x14ac:dyDescent="0.25">
      <c r="A1882" s="3">
        <v>1877</v>
      </c>
      <c r="B1882" s="3" t="str">
        <f>"00553393"</f>
        <v>00553393</v>
      </c>
    </row>
    <row r="1883" spans="1:2" x14ac:dyDescent="0.25">
      <c r="A1883" s="3">
        <v>1878</v>
      </c>
      <c r="B1883" s="3" t="str">
        <f>"00553597"</f>
        <v>00553597</v>
      </c>
    </row>
    <row r="1884" spans="1:2" x14ac:dyDescent="0.25">
      <c r="A1884" s="3">
        <v>1879</v>
      </c>
      <c r="B1884" s="3" t="str">
        <f>"00553829"</f>
        <v>00553829</v>
      </c>
    </row>
    <row r="1885" spans="1:2" x14ac:dyDescent="0.25">
      <c r="A1885" s="3">
        <v>1880</v>
      </c>
      <c r="B1885" s="3" t="str">
        <f>"00554197"</f>
        <v>00554197</v>
      </c>
    </row>
    <row r="1886" spans="1:2" x14ac:dyDescent="0.25">
      <c r="A1886" s="3">
        <v>1881</v>
      </c>
      <c r="B1886" s="3" t="str">
        <f>"00554247"</f>
        <v>00554247</v>
      </c>
    </row>
    <row r="1887" spans="1:2" x14ac:dyDescent="0.25">
      <c r="A1887" s="3">
        <v>1882</v>
      </c>
      <c r="B1887" s="3" t="str">
        <f>"00554251"</f>
        <v>00554251</v>
      </c>
    </row>
    <row r="1888" spans="1:2" x14ac:dyDescent="0.25">
      <c r="A1888" s="3">
        <v>1883</v>
      </c>
      <c r="B1888" s="3" t="str">
        <f>"00554330"</f>
        <v>00554330</v>
      </c>
    </row>
    <row r="1889" spans="1:2" x14ac:dyDescent="0.25">
      <c r="A1889" s="3">
        <v>1884</v>
      </c>
      <c r="B1889" s="3" t="str">
        <f>"00554335"</f>
        <v>00554335</v>
      </c>
    </row>
    <row r="1890" spans="1:2" x14ac:dyDescent="0.25">
      <c r="A1890" s="3">
        <v>1885</v>
      </c>
      <c r="B1890" s="3" t="str">
        <f>"00554408"</f>
        <v>00554408</v>
      </c>
    </row>
    <row r="1891" spans="1:2" x14ac:dyDescent="0.25">
      <c r="A1891" s="3">
        <v>1886</v>
      </c>
      <c r="B1891" s="3" t="str">
        <f>"00554447"</f>
        <v>00554447</v>
      </c>
    </row>
    <row r="1892" spans="1:2" x14ac:dyDescent="0.25">
      <c r="A1892" s="3">
        <v>1887</v>
      </c>
      <c r="B1892" s="3" t="str">
        <f>"00554448"</f>
        <v>00554448</v>
      </c>
    </row>
    <row r="1893" spans="1:2" x14ac:dyDescent="0.25">
      <c r="A1893" s="3">
        <v>1888</v>
      </c>
      <c r="B1893" s="3" t="str">
        <f>"00554485"</f>
        <v>00554485</v>
      </c>
    </row>
    <row r="1894" spans="1:2" x14ac:dyDescent="0.25">
      <c r="A1894" s="3">
        <v>1889</v>
      </c>
      <c r="B1894" s="3" t="str">
        <f>"00554557"</f>
        <v>00554557</v>
      </c>
    </row>
    <row r="1895" spans="1:2" x14ac:dyDescent="0.25">
      <c r="A1895" s="3">
        <v>1890</v>
      </c>
      <c r="B1895" s="3" t="str">
        <f>"00554662"</f>
        <v>00554662</v>
      </c>
    </row>
    <row r="1896" spans="1:2" x14ac:dyDescent="0.25">
      <c r="A1896" s="3">
        <v>1891</v>
      </c>
      <c r="B1896" s="3" t="str">
        <f>"00554969"</f>
        <v>00554969</v>
      </c>
    </row>
    <row r="1897" spans="1:2" x14ac:dyDescent="0.25">
      <c r="A1897" s="3">
        <v>1892</v>
      </c>
      <c r="B1897" s="3" t="str">
        <f>"00554999"</f>
        <v>00554999</v>
      </c>
    </row>
    <row r="1898" spans="1:2" x14ac:dyDescent="0.25">
      <c r="A1898" s="3">
        <v>1893</v>
      </c>
      <c r="B1898" s="3" t="str">
        <f>"00555036"</f>
        <v>00555036</v>
      </c>
    </row>
    <row r="1899" spans="1:2" x14ac:dyDescent="0.25">
      <c r="A1899" s="3">
        <v>1894</v>
      </c>
      <c r="B1899" s="3" t="str">
        <f>"00555040"</f>
        <v>00555040</v>
      </c>
    </row>
    <row r="1900" spans="1:2" x14ac:dyDescent="0.25">
      <c r="A1900" s="3">
        <v>1895</v>
      </c>
      <c r="B1900" s="3" t="str">
        <f>"00555055"</f>
        <v>00555055</v>
      </c>
    </row>
    <row r="1901" spans="1:2" x14ac:dyDescent="0.25">
      <c r="A1901" s="3">
        <v>1896</v>
      </c>
      <c r="B1901" s="3" t="str">
        <f>"00555152"</f>
        <v>00555152</v>
      </c>
    </row>
    <row r="1902" spans="1:2" x14ac:dyDescent="0.25">
      <c r="A1902" s="3">
        <v>1897</v>
      </c>
      <c r="B1902" s="3" t="str">
        <f>"00555220"</f>
        <v>00555220</v>
      </c>
    </row>
    <row r="1903" spans="1:2" x14ac:dyDescent="0.25">
      <c r="A1903" s="3">
        <v>1898</v>
      </c>
      <c r="B1903" s="3" t="str">
        <f>"00555221"</f>
        <v>00555221</v>
      </c>
    </row>
    <row r="1904" spans="1:2" x14ac:dyDescent="0.25">
      <c r="A1904" s="3">
        <v>1899</v>
      </c>
      <c r="B1904" s="3" t="str">
        <f>"00555274"</f>
        <v>00555274</v>
      </c>
    </row>
    <row r="1905" spans="1:2" x14ac:dyDescent="0.25">
      <c r="A1905" s="3">
        <v>1900</v>
      </c>
      <c r="B1905" s="3" t="str">
        <f>"00555291"</f>
        <v>00555291</v>
      </c>
    </row>
    <row r="1906" spans="1:2" x14ac:dyDescent="0.25">
      <c r="A1906" s="3">
        <v>1901</v>
      </c>
      <c r="B1906" s="3" t="str">
        <f>"00555307"</f>
        <v>00555307</v>
      </c>
    </row>
    <row r="1907" spans="1:2" x14ac:dyDescent="0.25">
      <c r="A1907" s="3">
        <v>1902</v>
      </c>
      <c r="B1907" s="3" t="str">
        <f>"00555362"</f>
        <v>00555362</v>
      </c>
    </row>
    <row r="1908" spans="1:2" x14ac:dyDescent="0.25">
      <c r="A1908" s="3">
        <v>1903</v>
      </c>
      <c r="B1908" s="3" t="str">
        <f>"00555385"</f>
        <v>00555385</v>
      </c>
    </row>
    <row r="1909" spans="1:2" x14ac:dyDescent="0.25">
      <c r="A1909" s="3">
        <v>1904</v>
      </c>
      <c r="B1909" s="3" t="str">
        <f>"00555569"</f>
        <v>00555569</v>
      </c>
    </row>
    <row r="1910" spans="1:2" x14ac:dyDescent="0.25">
      <c r="A1910" s="3">
        <v>1905</v>
      </c>
      <c r="B1910" s="3" t="str">
        <f>"00555581"</f>
        <v>00555581</v>
      </c>
    </row>
    <row r="1911" spans="1:2" x14ac:dyDescent="0.25">
      <c r="A1911" s="3">
        <v>1906</v>
      </c>
      <c r="B1911" s="3" t="str">
        <f>"00555671"</f>
        <v>00555671</v>
      </c>
    </row>
    <row r="1912" spans="1:2" x14ac:dyDescent="0.25">
      <c r="A1912" s="3">
        <v>1907</v>
      </c>
      <c r="B1912" s="3" t="str">
        <f>"00555886"</f>
        <v>00555886</v>
      </c>
    </row>
    <row r="1913" spans="1:2" x14ac:dyDescent="0.25">
      <c r="A1913" s="3">
        <v>1908</v>
      </c>
      <c r="B1913" s="3" t="str">
        <f>"00556016"</f>
        <v>00556016</v>
      </c>
    </row>
    <row r="1914" spans="1:2" x14ac:dyDescent="0.25">
      <c r="A1914" s="3">
        <v>1909</v>
      </c>
      <c r="B1914" s="3" t="str">
        <f>"00556109"</f>
        <v>00556109</v>
      </c>
    </row>
    <row r="1915" spans="1:2" x14ac:dyDescent="0.25">
      <c r="A1915" s="3">
        <v>1910</v>
      </c>
      <c r="B1915" s="3" t="str">
        <f>"00556135"</f>
        <v>00556135</v>
      </c>
    </row>
    <row r="1916" spans="1:2" x14ac:dyDescent="0.25">
      <c r="A1916" s="3">
        <v>1911</v>
      </c>
      <c r="B1916" s="3" t="str">
        <f>"00556174"</f>
        <v>00556174</v>
      </c>
    </row>
    <row r="1917" spans="1:2" x14ac:dyDescent="0.25">
      <c r="A1917" s="3">
        <v>1912</v>
      </c>
      <c r="B1917" s="3" t="str">
        <f>"00556227"</f>
        <v>00556227</v>
      </c>
    </row>
    <row r="1918" spans="1:2" x14ac:dyDescent="0.25">
      <c r="A1918" s="3">
        <v>1913</v>
      </c>
      <c r="B1918" s="3" t="str">
        <f>"00556392"</f>
        <v>00556392</v>
      </c>
    </row>
    <row r="1919" spans="1:2" x14ac:dyDescent="0.25">
      <c r="A1919" s="3">
        <v>1914</v>
      </c>
      <c r="B1919" s="3" t="str">
        <f>"00556493"</f>
        <v>00556493</v>
      </c>
    </row>
    <row r="1920" spans="1:2" x14ac:dyDescent="0.25">
      <c r="A1920" s="3">
        <v>1915</v>
      </c>
      <c r="B1920" s="3" t="str">
        <f>"00556725"</f>
        <v>00556725</v>
      </c>
    </row>
    <row r="1921" spans="1:2" x14ac:dyDescent="0.25">
      <c r="A1921" s="3">
        <v>1916</v>
      </c>
      <c r="B1921" s="3" t="str">
        <f>"00556738"</f>
        <v>00556738</v>
      </c>
    </row>
    <row r="1922" spans="1:2" x14ac:dyDescent="0.25">
      <c r="A1922" s="3">
        <v>1917</v>
      </c>
      <c r="B1922" s="3" t="str">
        <f>"00556767"</f>
        <v>00556767</v>
      </c>
    </row>
    <row r="1923" spans="1:2" x14ac:dyDescent="0.25">
      <c r="A1923" s="3">
        <v>1918</v>
      </c>
      <c r="B1923" s="3" t="str">
        <f>"00556876"</f>
        <v>00556876</v>
      </c>
    </row>
    <row r="1924" spans="1:2" x14ac:dyDescent="0.25">
      <c r="A1924" s="3">
        <v>1919</v>
      </c>
      <c r="B1924" s="3" t="str">
        <f>"00556971"</f>
        <v>00556971</v>
      </c>
    </row>
    <row r="1925" spans="1:2" x14ac:dyDescent="0.25">
      <c r="A1925" s="3">
        <v>1920</v>
      </c>
      <c r="B1925" s="3" t="str">
        <f>"00556985"</f>
        <v>00556985</v>
      </c>
    </row>
    <row r="1926" spans="1:2" x14ac:dyDescent="0.25">
      <c r="A1926" s="3">
        <v>1921</v>
      </c>
      <c r="B1926" s="3" t="str">
        <f>"00557003"</f>
        <v>00557003</v>
      </c>
    </row>
    <row r="1927" spans="1:2" x14ac:dyDescent="0.25">
      <c r="A1927" s="3">
        <v>1922</v>
      </c>
      <c r="B1927" s="3" t="str">
        <f>"00557057"</f>
        <v>00557057</v>
      </c>
    </row>
    <row r="1928" spans="1:2" x14ac:dyDescent="0.25">
      <c r="A1928" s="3">
        <v>1923</v>
      </c>
      <c r="B1928" s="3" t="str">
        <f>"00557080"</f>
        <v>00557080</v>
      </c>
    </row>
    <row r="1929" spans="1:2" x14ac:dyDescent="0.25">
      <c r="A1929" s="3">
        <v>1924</v>
      </c>
      <c r="B1929" s="3" t="str">
        <f>"00557087"</f>
        <v>00557087</v>
      </c>
    </row>
    <row r="1930" spans="1:2" x14ac:dyDescent="0.25">
      <c r="A1930" s="3">
        <v>1925</v>
      </c>
      <c r="B1930" s="3" t="str">
        <f>"00557133"</f>
        <v>00557133</v>
      </c>
    </row>
    <row r="1931" spans="1:2" x14ac:dyDescent="0.25">
      <c r="A1931" s="3">
        <v>1926</v>
      </c>
      <c r="B1931" s="3" t="str">
        <f>"00557232"</f>
        <v>00557232</v>
      </c>
    </row>
    <row r="1932" spans="1:2" x14ac:dyDescent="0.25">
      <c r="A1932" s="3">
        <v>1927</v>
      </c>
      <c r="B1932" s="3" t="str">
        <f>"00557354"</f>
        <v>00557354</v>
      </c>
    </row>
    <row r="1933" spans="1:2" x14ac:dyDescent="0.25">
      <c r="A1933" s="3">
        <v>1928</v>
      </c>
      <c r="B1933" s="3" t="str">
        <f>"00557359"</f>
        <v>00557359</v>
      </c>
    </row>
    <row r="1934" spans="1:2" x14ac:dyDescent="0.25">
      <c r="A1934" s="3">
        <v>1929</v>
      </c>
      <c r="B1934" s="3" t="str">
        <f>"00557407"</f>
        <v>00557407</v>
      </c>
    </row>
    <row r="1935" spans="1:2" x14ac:dyDescent="0.25">
      <c r="A1935" s="3">
        <v>1930</v>
      </c>
      <c r="B1935" s="3" t="str">
        <f>"00557469"</f>
        <v>00557469</v>
      </c>
    </row>
    <row r="1936" spans="1:2" x14ac:dyDescent="0.25">
      <c r="A1936" s="3">
        <v>1931</v>
      </c>
      <c r="B1936" s="3" t="str">
        <f>"00557558"</f>
        <v>00557558</v>
      </c>
    </row>
    <row r="1937" spans="1:2" x14ac:dyDescent="0.25">
      <c r="A1937" s="3">
        <v>1932</v>
      </c>
      <c r="B1937" s="3" t="str">
        <f>"00557612"</f>
        <v>00557612</v>
      </c>
    </row>
    <row r="1938" spans="1:2" x14ac:dyDescent="0.25">
      <c r="A1938" s="3">
        <v>1933</v>
      </c>
      <c r="B1938" s="3" t="str">
        <f>"00557721"</f>
        <v>00557721</v>
      </c>
    </row>
    <row r="1939" spans="1:2" x14ac:dyDescent="0.25">
      <c r="A1939" s="3">
        <v>1934</v>
      </c>
      <c r="B1939" s="3" t="str">
        <f>"00557860"</f>
        <v>00557860</v>
      </c>
    </row>
    <row r="1940" spans="1:2" x14ac:dyDescent="0.25">
      <c r="A1940" s="3">
        <v>1935</v>
      </c>
      <c r="B1940" s="3" t="str">
        <f>"00557914"</f>
        <v>00557914</v>
      </c>
    </row>
    <row r="1941" spans="1:2" x14ac:dyDescent="0.25">
      <c r="A1941" s="3">
        <v>1936</v>
      </c>
      <c r="B1941" s="3" t="str">
        <f>"00558097"</f>
        <v>00558097</v>
      </c>
    </row>
    <row r="1942" spans="1:2" x14ac:dyDescent="0.25">
      <c r="A1942" s="3">
        <v>1937</v>
      </c>
      <c r="B1942" s="3" t="str">
        <f>"00558103"</f>
        <v>00558103</v>
      </c>
    </row>
    <row r="1943" spans="1:2" x14ac:dyDescent="0.25">
      <c r="A1943" s="3">
        <v>1938</v>
      </c>
      <c r="B1943" s="3" t="str">
        <f>"00558353"</f>
        <v>00558353</v>
      </c>
    </row>
    <row r="1944" spans="1:2" x14ac:dyDescent="0.25">
      <c r="A1944" s="3">
        <v>1939</v>
      </c>
      <c r="B1944" s="3" t="str">
        <f>"00558525"</f>
        <v>00558525</v>
      </c>
    </row>
    <row r="1945" spans="1:2" x14ac:dyDescent="0.25">
      <c r="A1945" s="3">
        <v>1940</v>
      </c>
      <c r="B1945" s="3" t="str">
        <f>"00558583"</f>
        <v>00558583</v>
      </c>
    </row>
    <row r="1946" spans="1:2" x14ac:dyDescent="0.25">
      <c r="A1946" s="3">
        <v>1941</v>
      </c>
      <c r="B1946" s="3" t="str">
        <f>"00558888"</f>
        <v>00558888</v>
      </c>
    </row>
    <row r="1947" spans="1:2" x14ac:dyDescent="0.25">
      <c r="A1947" s="3">
        <v>1942</v>
      </c>
      <c r="B1947" s="3" t="str">
        <f>"00558899"</f>
        <v>00558899</v>
      </c>
    </row>
    <row r="1948" spans="1:2" x14ac:dyDescent="0.25">
      <c r="A1948" s="3">
        <v>1943</v>
      </c>
      <c r="B1948" s="3" t="str">
        <f>"00558939"</f>
        <v>00558939</v>
      </c>
    </row>
    <row r="1949" spans="1:2" x14ac:dyDescent="0.25">
      <c r="A1949" s="3">
        <v>1944</v>
      </c>
      <c r="B1949" s="3" t="str">
        <f>"00558967"</f>
        <v>00558967</v>
      </c>
    </row>
    <row r="1950" spans="1:2" x14ac:dyDescent="0.25">
      <c r="A1950" s="3">
        <v>1945</v>
      </c>
      <c r="B1950" s="3" t="str">
        <f>"00559021"</f>
        <v>00559021</v>
      </c>
    </row>
    <row r="1951" spans="1:2" x14ac:dyDescent="0.25">
      <c r="A1951" s="3">
        <v>1946</v>
      </c>
      <c r="B1951" s="3" t="str">
        <f>"00559068"</f>
        <v>00559068</v>
      </c>
    </row>
    <row r="1952" spans="1:2" x14ac:dyDescent="0.25">
      <c r="A1952" s="3">
        <v>1947</v>
      </c>
      <c r="B1952" s="3" t="str">
        <f>"00559108"</f>
        <v>00559108</v>
      </c>
    </row>
    <row r="1953" spans="1:2" x14ac:dyDescent="0.25">
      <c r="A1953" s="3">
        <v>1948</v>
      </c>
      <c r="B1953" s="3" t="str">
        <f>"00559166"</f>
        <v>00559166</v>
      </c>
    </row>
    <row r="1954" spans="1:2" x14ac:dyDescent="0.25">
      <c r="A1954" s="3">
        <v>1949</v>
      </c>
      <c r="B1954" s="3" t="str">
        <f>"00559193"</f>
        <v>00559193</v>
      </c>
    </row>
    <row r="1955" spans="1:2" x14ac:dyDescent="0.25">
      <c r="A1955" s="3">
        <v>1950</v>
      </c>
      <c r="B1955" s="3" t="str">
        <f>"00559202"</f>
        <v>00559202</v>
      </c>
    </row>
    <row r="1956" spans="1:2" x14ac:dyDescent="0.25">
      <c r="A1956" s="3">
        <v>1951</v>
      </c>
      <c r="B1956" s="3" t="str">
        <f>"00559228"</f>
        <v>00559228</v>
      </c>
    </row>
    <row r="1957" spans="1:2" x14ac:dyDescent="0.25">
      <c r="A1957" s="3">
        <v>1952</v>
      </c>
      <c r="B1957" s="3" t="str">
        <f>"00559481"</f>
        <v>00559481</v>
      </c>
    </row>
    <row r="1958" spans="1:2" x14ac:dyDescent="0.25">
      <c r="A1958" s="3">
        <v>1953</v>
      </c>
      <c r="B1958" s="3" t="str">
        <f>"00559553"</f>
        <v>00559553</v>
      </c>
    </row>
    <row r="1959" spans="1:2" x14ac:dyDescent="0.25">
      <c r="A1959" s="3">
        <v>1954</v>
      </c>
      <c r="B1959" s="3" t="str">
        <f>"00559690"</f>
        <v>00559690</v>
      </c>
    </row>
    <row r="1960" spans="1:2" x14ac:dyDescent="0.25">
      <c r="A1960" s="3">
        <v>1955</v>
      </c>
      <c r="B1960" s="3" t="str">
        <f>"00559837"</f>
        <v>00559837</v>
      </c>
    </row>
    <row r="1961" spans="1:2" x14ac:dyDescent="0.25">
      <c r="A1961" s="3">
        <v>1956</v>
      </c>
      <c r="B1961" s="3" t="str">
        <f>"00559992"</f>
        <v>00559992</v>
      </c>
    </row>
    <row r="1962" spans="1:2" x14ac:dyDescent="0.25">
      <c r="A1962" s="3">
        <v>1957</v>
      </c>
      <c r="B1962" s="3" t="str">
        <f>"00560021"</f>
        <v>00560021</v>
      </c>
    </row>
    <row r="1963" spans="1:2" x14ac:dyDescent="0.25">
      <c r="A1963" s="3">
        <v>1958</v>
      </c>
      <c r="B1963" s="3" t="str">
        <f>"00560025"</f>
        <v>00560025</v>
      </c>
    </row>
    <row r="1964" spans="1:2" x14ac:dyDescent="0.25">
      <c r="A1964" s="3">
        <v>1959</v>
      </c>
      <c r="B1964" s="3" t="str">
        <f>"00560031"</f>
        <v>00560031</v>
      </c>
    </row>
    <row r="1965" spans="1:2" x14ac:dyDescent="0.25">
      <c r="A1965" s="3">
        <v>1960</v>
      </c>
      <c r="B1965" s="3" t="str">
        <f>"00560043"</f>
        <v>00560043</v>
      </c>
    </row>
    <row r="1966" spans="1:2" x14ac:dyDescent="0.25">
      <c r="A1966" s="3">
        <v>1961</v>
      </c>
      <c r="B1966" s="3" t="str">
        <f>"00560128"</f>
        <v>00560128</v>
      </c>
    </row>
    <row r="1967" spans="1:2" x14ac:dyDescent="0.25">
      <c r="A1967" s="3">
        <v>1962</v>
      </c>
      <c r="B1967" s="3" t="str">
        <f>"00560438"</f>
        <v>00560438</v>
      </c>
    </row>
    <row r="1968" spans="1:2" x14ac:dyDescent="0.25">
      <c r="A1968" s="3">
        <v>1963</v>
      </c>
      <c r="B1968" s="3" t="str">
        <f>"00560497"</f>
        <v>00560497</v>
      </c>
    </row>
    <row r="1969" spans="1:2" x14ac:dyDescent="0.25">
      <c r="A1969" s="3">
        <v>1964</v>
      </c>
      <c r="B1969" s="3" t="str">
        <f>"00560547"</f>
        <v>00560547</v>
      </c>
    </row>
    <row r="1970" spans="1:2" x14ac:dyDescent="0.25">
      <c r="A1970" s="3">
        <v>1965</v>
      </c>
      <c r="B1970" s="3" t="str">
        <f>"00560560"</f>
        <v>00560560</v>
      </c>
    </row>
    <row r="1971" spans="1:2" x14ac:dyDescent="0.25">
      <c r="A1971" s="3">
        <v>1966</v>
      </c>
      <c r="B1971" s="3" t="str">
        <f>"00560572"</f>
        <v>00560572</v>
      </c>
    </row>
    <row r="1972" spans="1:2" x14ac:dyDescent="0.25">
      <c r="A1972" s="3">
        <v>1967</v>
      </c>
      <c r="B1972" s="3" t="str">
        <f>"00560575"</f>
        <v>00560575</v>
      </c>
    </row>
    <row r="1973" spans="1:2" x14ac:dyDescent="0.25">
      <c r="A1973" s="3">
        <v>1968</v>
      </c>
      <c r="B1973" s="3" t="str">
        <f>"00560636"</f>
        <v>00560636</v>
      </c>
    </row>
    <row r="1974" spans="1:2" x14ac:dyDescent="0.25">
      <c r="A1974" s="3">
        <v>1969</v>
      </c>
      <c r="B1974" s="3" t="str">
        <f>"00560712"</f>
        <v>00560712</v>
      </c>
    </row>
    <row r="1975" spans="1:2" x14ac:dyDescent="0.25">
      <c r="A1975" s="3">
        <v>1970</v>
      </c>
      <c r="B1975" s="3" t="str">
        <f>"00560743"</f>
        <v>00560743</v>
      </c>
    </row>
    <row r="1976" spans="1:2" x14ac:dyDescent="0.25">
      <c r="A1976" s="3">
        <v>1971</v>
      </c>
      <c r="B1976" s="3" t="str">
        <f>"00560773"</f>
        <v>00560773</v>
      </c>
    </row>
    <row r="1977" spans="1:2" x14ac:dyDescent="0.25">
      <c r="A1977" s="3">
        <v>1972</v>
      </c>
      <c r="B1977" s="3" t="str">
        <f>"00560795"</f>
        <v>00560795</v>
      </c>
    </row>
    <row r="1978" spans="1:2" x14ac:dyDescent="0.25">
      <c r="A1978" s="3">
        <v>1973</v>
      </c>
      <c r="B1978" s="3" t="str">
        <f>"00560813"</f>
        <v>00560813</v>
      </c>
    </row>
    <row r="1979" spans="1:2" x14ac:dyDescent="0.25">
      <c r="A1979" s="3">
        <v>1974</v>
      </c>
      <c r="B1979" s="3" t="str">
        <f>"00560859"</f>
        <v>00560859</v>
      </c>
    </row>
    <row r="1980" spans="1:2" x14ac:dyDescent="0.25">
      <c r="A1980" s="3">
        <v>1975</v>
      </c>
      <c r="B1980" s="3" t="str">
        <f>"00560868"</f>
        <v>00560868</v>
      </c>
    </row>
    <row r="1981" spans="1:2" x14ac:dyDescent="0.25">
      <c r="A1981" s="3">
        <v>1976</v>
      </c>
      <c r="B1981" s="3" t="str">
        <f>"00560910"</f>
        <v>00560910</v>
      </c>
    </row>
    <row r="1982" spans="1:2" x14ac:dyDescent="0.25">
      <c r="A1982" s="3">
        <v>1977</v>
      </c>
      <c r="B1982" s="3" t="str">
        <f>"00561015"</f>
        <v>00561015</v>
      </c>
    </row>
    <row r="1983" spans="1:2" x14ac:dyDescent="0.25">
      <c r="A1983" s="3">
        <v>1978</v>
      </c>
      <c r="B1983" s="3" t="str">
        <f>"00561204"</f>
        <v>00561204</v>
      </c>
    </row>
    <row r="1984" spans="1:2" x14ac:dyDescent="0.25">
      <c r="A1984" s="3">
        <v>1979</v>
      </c>
      <c r="B1984" s="3" t="str">
        <f>"00561234"</f>
        <v>00561234</v>
      </c>
    </row>
    <row r="1985" spans="1:2" x14ac:dyDescent="0.25">
      <c r="A1985" s="3">
        <v>1980</v>
      </c>
      <c r="B1985" s="3" t="str">
        <f>"00561346"</f>
        <v>00561346</v>
      </c>
    </row>
    <row r="1986" spans="1:2" x14ac:dyDescent="0.25">
      <c r="A1986" s="3">
        <v>1981</v>
      </c>
      <c r="B1986" s="3" t="str">
        <f>"00561600"</f>
        <v>00561600</v>
      </c>
    </row>
    <row r="1987" spans="1:2" x14ac:dyDescent="0.25">
      <c r="A1987" s="3">
        <v>1982</v>
      </c>
      <c r="B1987" s="3" t="str">
        <f>"00561712"</f>
        <v>00561712</v>
      </c>
    </row>
    <row r="1988" spans="1:2" x14ac:dyDescent="0.25">
      <c r="A1988" s="3">
        <v>1983</v>
      </c>
      <c r="B1988" s="3" t="str">
        <f>"00561824"</f>
        <v>00561824</v>
      </c>
    </row>
    <row r="1989" spans="1:2" x14ac:dyDescent="0.25">
      <c r="A1989" s="3">
        <v>1984</v>
      </c>
      <c r="B1989" s="3" t="str">
        <f>"00561899"</f>
        <v>00561899</v>
      </c>
    </row>
    <row r="1990" spans="1:2" x14ac:dyDescent="0.25">
      <c r="A1990" s="3">
        <v>1985</v>
      </c>
      <c r="B1990" s="3" t="str">
        <f>"00561905"</f>
        <v>00561905</v>
      </c>
    </row>
    <row r="1991" spans="1:2" x14ac:dyDescent="0.25">
      <c r="A1991" s="3">
        <v>1986</v>
      </c>
      <c r="B1991" s="3" t="str">
        <f>"00561928"</f>
        <v>00561928</v>
      </c>
    </row>
    <row r="1992" spans="1:2" x14ac:dyDescent="0.25">
      <c r="A1992" s="3">
        <v>1987</v>
      </c>
      <c r="B1992" s="3" t="str">
        <f>"00561981"</f>
        <v>00561981</v>
      </c>
    </row>
    <row r="1993" spans="1:2" x14ac:dyDescent="0.25">
      <c r="A1993" s="3">
        <v>1988</v>
      </c>
      <c r="B1993" s="3" t="str">
        <f>"00561983"</f>
        <v>00561983</v>
      </c>
    </row>
    <row r="1994" spans="1:2" x14ac:dyDescent="0.25">
      <c r="A1994" s="3">
        <v>1989</v>
      </c>
      <c r="B1994" s="3" t="str">
        <f>"00562126"</f>
        <v>00562126</v>
      </c>
    </row>
    <row r="1995" spans="1:2" x14ac:dyDescent="0.25">
      <c r="A1995" s="3">
        <v>1990</v>
      </c>
      <c r="B1995" s="3" t="str">
        <f>"00562147"</f>
        <v>00562147</v>
      </c>
    </row>
    <row r="1996" spans="1:2" x14ac:dyDescent="0.25">
      <c r="A1996" s="3">
        <v>1991</v>
      </c>
      <c r="B1996" s="3" t="str">
        <f>"00562185"</f>
        <v>00562185</v>
      </c>
    </row>
    <row r="1997" spans="1:2" x14ac:dyDescent="0.25">
      <c r="A1997" s="3">
        <v>1992</v>
      </c>
      <c r="B1997" s="3" t="str">
        <f>"00562426"</f>
        <v>00562426</v>
      </c>
    </row>
    <row r="1998" spans="1:2" x14ac:dyDescent="0.25">
      <c r="A1998" s="3">
        <v>1993</v>
      </c>
      <c r="B1998" s="3" t="str">
        <f>"00562484"</f>
        <v>00562484</v>
      </c>
    </row>
    <row r="1999" spans="1:2" x14ac:dyDescent="0.25">
      <c r="A1999" s="3">
        <v>1994</v>
      </c>
      <c r="B1999" s="3" t="str">
        <f>"00562491"</f>
        <v>00562491</v>
      </c>
    </row>
    <row r="2000" spans="1:2" x14ac:dyDescent="0.25">
      <c r="A2000" s="3">
        <v>1995</v>
      </c>
      <c r="B2000" s="3" t="str">
        <f>"00562635"</f>
        <v>00562635</v>
      </c>
    </row>
    <row r="2001" spans="1:2" x14ac:dyDescent="0.25">
      <c r="A2001" s="3">
        <v>1996</v>
      </c>
      <c r="B2001" s="3" t="str">
        <f>"00562737"</f>
        <v>00562737</v>
      </c>
    </row>
    <row r="2002" spans="1:2" x14ac:dyDescent="0.25">
      <c r="A2002" s="3">
        <v>1997</v>
      </c>
      <c r="B2002" s="3" t="str">
        <f>"00562762"</f>
        <v>00562762</v>
      </c>
    </row>
    <row r="2003" spans="1:2" x14ac:dyDescent="0.25">
      <c r="A2003" s="3">
        <v>1998</v>
      </c>
      <c r="B2003" s="3" t="str">
        <f>"00562786"</f>
        <v>00562786</v>
      </c>
    </row>
    <row r="2004" spans="1:2" x14ac:dyDescent="0.25">
      <c r="A2004" s="3">
        <v>1999</v>
      </c>
      <c r="B2004" s="3" t="str">
        <f>"00562926"</f>
        <v>00562926</v>
      </c>
    </row>
    <row r="2005" spans="1:2" x14ac:dyDescent="0.25">
      <c r="A2005" s="3">
        <v>2000</v>
      </c>
      <c r="B2005" s="3" t="str">
        <f>"00562977"</f>
        <v>00562977</v>
      </c>
    </row>
    <row r="2006" spans="1:2" x14ac:dyDescent="0.25">
      <c r="A2006" s="3">
        <v>2001</v>
      </c>
      <c r="B2006" s="3" t="str">
        <f>"00562992"</f>
        <v>00562992</v>
      </c>
    </row>
    <row r="2007" spans="1:2" x14ac:dyDescent="0.25">
      <c r="A2007" s="3">
        <v>2002</v>
      </c>
      <c r="B2007" s="3" t="str">
        <f>"00564158"</f>
        <v>00564158</v>
      </c>
    </row>
    <row r="2008" spans="1:2" x14ac:dyDescent="0.25">
      <c r="A2008" s="3">
        <v>2003</v>
      </c>
      <c r="B2008" s="3" t="str">
        <f>"00564793"</f>
        <v>00564793</v>
      </c>
    </row>
    <row r="2009" spans="1:2" x14ac:dyDescent="0.25">
      <c r="A2009" s="3">
        <v>2004</v>
      </c>
      <c r="B2009" s="3" t="str">
        <f>"00565185"</f>
        <v>00565185</v>
      </c>
    </row>
    <row r="2010" spans="1:2" x14ac:dyDescent="0.25">
      <c r="A2010" s="3">
        <v>2005</v>
      </c>
      <c r="B2010" s="3" t="str">
        <f>"00565255"</f>
        <v>00565255</v>
      </c>
    </row>
    <row r="2011" spans="1:2" x14ac:dyDescent="0.25">
      <c r="A2011" s="3">
        <v>2006</v>
      </c>
      <c r="B2011" s="3" t="str">
        <f>"00566142"</f>
        <v>00566142</v>
      </c>
    </row>
    <row r="2012" spans="1:2" x14ac:dyDescent="0.25">
      <c r="A2012" s="3">
        <v>2007</v>
      </c>
      <c r="B2012" s="3" t="str">
        <f>"00566407"</f>
        <v>00566407</v>
      </c>
    </row>
    <row r="2013" spans="1:2" x14ac:dyDescent="0.25">
      <c r="A2013" s="3">
        <v>2008</v>
      </c>
      <c r="B2013" s="3" t="str">
        <f>"00566587"</f>
        <v>00566587</v>
      </c>
    </row>
    <row r="2014" spans="1:2" x14ac:dyDescent="0.25">
      <c r="A2014" s="3">
        <v>2009</v>
      </c>
      <c r="B2014" s="3" t="str">
        <f>"00566667"</f>
        <v>00566667</v>
      </c>
    </row>
    <row r="2015" spans="1:2" x14ac:dyDescent="0.25">
      <c r="A2015" s="3">
        <v>2010</v>
      </c>
      <c r="B2015" s="21" t="s">
        <v>19</v>
      </c>
    </row>
    <row r="2016" spans="1:2" x14ac:dyDescent="0.25">
      <c r="A2016" s="3">
        <v>2011</v>
      </c>
      <c r="B2016" s="3" t="str">
        <f>"00566979"</f>
        <v>00566979</v>
      </c>
    </row>
    <row r="2017" spans="1:2" x14ac:dyDescent="0.25">
      <c r="A2017" s="3">
        <v>2012</v>
      </c>
      <c r="B2017" s="3" t="str">
        <f>"00567367"</f>
        <v>00567367</v>
      </c>
    </row>
    <row r="2018" spans="1:2" x14ac:dyDescent="0.25">
      <c r="A2018" s="3">
        <v>2013</v>
      </c>
      <c r="B2018" s="3" t="str">
        <f>"00567511"</f>
        <v>00567511</v>
      </c>
    </row>
    <row r="2019" spans="1:2" x14ac:dyDescent="0.25">
      <c r="A2019" s="3">
        <v>2014</v>
      </c>
      <c r="B2019" s="3" t="str">
        <f>"00567589"</f>
        <v>00567589</v>
      </c>
    </row>
    <row r="2020" spans="1:2" x14ac:dyDescent="0.25">
      <c r="A2020" s="3">
        <v>2015</v>
      </c>
      <c r="B2020" s="3" t="str">
        <f>"00567755"</f>
        <v>00567755</v>
      </c>
    </row>
    <row r="2021" spans="1:2" x14ac:dyDescent="0.25">
      <c r="A2021" s="3">
        <v>2016</v>
      </c>
      <c r="B2021" s="3" t="str">
        <f>"00569291"</f>
        <v>00569291</v>
      </c>
    </row>
    <row r="2022" spans="1:2" x14ac:dyDescent="0.25">
      <c r="A2022" s="3">
        <v>2017</v>
      </c>
      <c r="B2022" s="3" t="str">
        <f>"00569571"</f>
        <v>00569571</v>
      </c>
    </row>
    <row r="2023" spans="1:2" x14ac:dyDescent="0.25">
      <c r="A2023" s="3">
        <v>2018</v>
      </c>
      <c r="B2023" s="3" t="str">
        <f>"00570026"</f>
        <v>00570026</v>
      </c>
    </row>
    <row r="2024" spans="1:2" x14ac:dyDescent="0.25">
      <c r="A2024" s="3">
        <v>2019</v>
      </c>
      <c r="B2024" s="3" t="str">
        <f>"00570422"</f>
        <v>00570422</v>
      </c>
    </row>
    <row r="2025" spans="1:2" x14ac:dyDescent="0.25">
      <c r="A2025" s="3">
        <v>2020</v>
      </c>
      <c r="B2025" s="3" t="str">
        <f>"00570499"</f>
        <v>00570499</v>
      </c>
    </row>
    <row r="2026" spans="1:2" x14ac:dyDescent="0.25">
      <c r="A2026" s="3">
        <v>2021</v>
      </c>
      <c r="B2026" s="3" t="str">
        <f>"00571791"</f>
        <v>00571791</v>
      </c>
    </row>
    <row r="2027" spans="1:2" x14ac:dyDescent="0.25">
      <c r="A2027" s="3">
        <v>2022</v>
      </c>
      <c r="B2027" s="3" t="str">
        <f>"00574800"</f>
        <v>00574800</v>
      </c>
    </row>
    <row r="2028" spans="1:2" x14ac:dyDescent="0.25">
      <c r="A2028" s="3">
        <v>2023</v>
      </c>
      <c r="B2028" s="3" t="str">
        <f>"00575443"</f>
        <v>00575443</v>
      </c>
    </row>
    <row r="2029" spans="1:2" x14ac:dyDescent="0.25">
      <c r="A2029" s="3">
        <v>2024</v>
      </c>
      <c r="B2029" s="3" t="str">
        <f>"00575445"</f>
        <v>00575445</v>
      </c>
    </row>
    <row r="2030" spans="1:2" x14ac:dyDescent="0.25">
      <c r="A2030" s="3">
        <v>2025</v>
      </c>
      <c r="B2030" s="3" t="str">
        <f>"00576540"</f>
        <v>00576540</v>
      </c>
    </row>
    <row r="2031" spans="1:2" x14ac:dyDescent="0.25">
      <c r="A2031" s="3">
        <v>2026</v>
      </c>
      <c r="B2031" s="3" t="str">
        <f>"00577200"</f>
        <v>00577200</v>
      </c>
    </row>
    <row r="2032" spans="1:2" x14ac:dyDescent="0.25">
      <c r="A2032" s="3">
        <v>2027</v>
      </c>
      <c r="B2032" s="3" t="str">
        <f>"00578195"</f>
        <v>00578195</v>
      </c>
    </row>
    <row r="2033" spans="1:2" x14ac:dyDescent="0.25">
      <c r="A2033" s="3">
        <v>2028</v>
      </c>
      <c r="B2033" s="3" t="str">
        <f>"00578553"</f>
        <v>00578553</v>
      </c>
    </row>
    <row r="2034" spans="1:2" x14ac:dyDescent="0.25">
      <c r="A2034" s="3">
        <v>2029</v>
      </c>
      <c r="B2034" s="3" t="str">
        <f>"00578612"</f>
        <v>00578612</v>
      </c>
    </row>
    <row r="2035" spans="1:2" x14ac:dyDescent="0.25">
      <c r="A2035" s="3">
        <v>2030</v>
      </c>
      <c r="B2035" s="3" t="str">
        <f>"00578802"</f>
        <v>00578802</v>
      </c>
    </row>
    <row r="2036" spans="1:2" x14ac:dyDescent="0.25">
      <c r="A2036" s="3">
        <v>2031</v>
      </c>
      <c r="B2036" s="3" t="str">
        <f>"00579054"</f>
        <v>00579054</v>
      </c>
    </row>
    <row r="2037" spans="1:2" x14ac:dyDescent="0.25">
      <c r="A2037" s="3">
        <v>2032</v>
      </c>
      <c r="B2037" s="3" t="str">
        <f>"00580765"</f>
        <v>00580765</v>
      </c>
    </row>
    <row r="2038" spans="1:2" x14ac:dyDescent="0.25">
      <c r="A2038" s="3">
        <v>2033</v>
      </c>
      <c r="B2038" s="3" t="str">
        <f>"00581006"</f>
        <v>00581006</v>
      </c>
    </row>
    <row r="2039" spans="1:2" x14ac:dyDescent="0.25">
      <c r="A2039" s="3">
        <v>2034</v>
      </c>
      <c r="B2039" s="3" t="str">
        <f>"00581026"</f>
        <v>00581026</v>
      </c>
    </row>
    <row r="2040" spans="1:2" x14ac:dyDescent="0.25">
      <c r="A2040" s="3">
        <v>2035</v>
      </c>
      <c r="B2040" s="3" t="str">
        <f>"00582864"</f>
        <v>00582864</v>
      </c>
    </row>
    <row r="2041" spans="1:2" x14ac:dyDescent="0.25">
      <c r="A2041" s="3">
        <v>2036</v>
      </c>
      <c r="B2041" s="3" t="str">
        <f>"00583545"</f>
        <v>00583545</v>
      </c>
    </row>
    <row r="2042" spans="1:2" x14ac:dyDescent="0.25">
      <c r="A2042" s="3">
        <v>2037</v>
      </c>
      <c r="B2042" s="3" t="str">
        <f>"00583763"</f>
        <v>00583763</v>
      </c>
    </row>
    <row r="2043" spans="1:2" x14ac:dyDescent="0.25">
      <c r="A2043" s="3">
        <v>2038</v>
      </c>
      <c r="B2043" s="3" t="str">
        <f>"00584429"</f>
        <v>00584429</v>
      </c>
    </row>
    <row r="2044" spans="1:2" x14ac:dyDescent="0.25">
      <c r="A2044" s="3">
        <v>2039</v>
      </c>
      <c r="B2044" s="3" t="str">
        <f>"00586911"</f>
        <v>00586911</v>
      </c>
    </row>
    <row r="2045" spans="1:2" x14ac:dyDescent="0.25">
      <c r="A2045" s="3">
        <v>2040</v>
      </c>
      <c r="B2045" s="3" t="str">
        <f>"00586924"</f>
        <v>00586924</v>
      </c>
    </row>
    <row r="2046" spans="1:2" x14ac:dyDescent="0.25">
      <c r="A2046" s="3">
        <v>2041</v>
      </c>
      <c r="B2046" s="3" t="str">
        <f>"00588547"</f>
        <v>00588547</v>
      </c>
    </row>
    <row r="2047" spans="1:2" x14ac:dyDescent="0.25">
      <c r="A2047" s="3">
        <v>2042</v>
      </c>
      <c r="B2047" s="3" t="str">
        <f>"00590305"</f>
        <v>00590305</v>
      </c>
    </row>
    <row r="2048" spans="1:2" x14ac:dyDescent="0.25">
      <c r="A2048" s="3">
        <v>2043</v>
      </c>
      <c r="B2048" s="3" t="str">
        <f>"00590938"</f>
        <v>00590938</v>
      </c>
    </row>
    <row r="2049" spans="1:2" x14ac:dyDescent="0.25">
      <c r="A2049" s="3">
        <v>2044</v>
      </c>
      <c r="B2049" s="3" t="str">
        <f>"00591177"</f>
        <v>00591177</v>
      </c>
    </row>
    <row r="2050" spans="1:2" x14ac:dyDescent="0.25">
      <c r="A2050" s="3">
        <v>2045</v>
      </c>
      <c r="B2050" s="3" t="str">
        <f>"00591463"</f>
        <v>00591463</v>
      </c>
    </row>
    <row r="2051" spans="1:2" x14ac:dyDescent="0.25">
      <c r="A2051" s="3">
        <v>2046</v>
      </c>
      <c r="B2051" s="3" t="str">
        <f>"00592208"</f>
        <v>00592208</v>
      </c>
    </row>
    <row r="2052" spans="1:2" x14ac:dyDescent="0.25">
      <c r="A2052" s="3">
        <v>2047</v>
      </c>
      <c r="B2052" s="3" t="str">
        <f>"00592258"</f>
        <v>00592258</v>
      </c>
    </row>
    <row r="2053" spans="1:2" x14ac:dyDescent="0.25">
      <c r="A2053" s="3">
        <v>2048</v>
      </c>
      <c r="B2053" s="3" t="str">
        <f>"00593186"</f>
        <v>00593186</v>
      </c>
    </row>
    <row r="2054" spans="1:2" x14ac:dyDescent="0.25">
      <c r="A2054" s="3">
        <v>2049</v>
      </c>
      <c r="B2054" s="3" t="str">
        <f>"00595436"</f>
        <v>00595436</v>
      </c>
    </row>
    <row r="2055" spans="1:2" x14ac:dyDescent="0.25">
      <c r="A2055" s="3">
        <v>2050</v>
      </c>
      <c r="B2055" s="3" t="str">
        <f>"00595801"</f>
        <v>00595801</v>
      </c>
    </row>
    <row r="2056" spans="1:2" x14ac:dyDescent="0.25">
      <c r="A2056" s="3">
        <v>2051</v>
      </c>
      <c r="B2056" s="3" t="str">
        <f>"00598359"</f>
        <v>00598359</v>
      </c>
    </row>
    <row r="2057" spans="1:2" x14ac:dyDescent="0.25">
      <c r="A2057" s="3">
        <v>2052</v>
      </c>
      <c r="B2057" s="3" t="str">
        <f>"00598998"</f>
        <v>00598998</v>
      </c>
    </row>
    <row r="2058" spans="1:2" x14ac:dyDescent="0.25">
      <c r="A2058" s="3">
        <v>2053</v>
      </c>
      <c r="B2058" s="3" t="str">
        <f>"00599219"</f>
        <v>00599219</v>
      </c>
    </row>
    <row r="2059" spans="1:2" x14ac:dyDescent="0.25">
      <c r="A2059" s="3">
        <v>2054</v>
      </c>
      <c r="B2059" s="3" t="str">
        <f>"00599292"</f>
        <v>00599292</v>
      </c>
    </row>
    <row r="2060" spans="1:2" x14ac:dyDescent="0.25">
      <c r="A2060" s="3">
        <v>2055</v>
      </c>
      <c r="B2060" s="3" t="str">
        <f>"00599301"</f>
        <v>00599301</v>
      </c>
    </row>
    <row r="2061" spans="1:2" x14ac:dyDescent="0.25">
      <c r="A2061" s="3">
        <v>2056</v>
      </c>
      <c r="B2061" s="3" t="str">
        <f>"00599358"</f>
        <v>00599358</v>
      </c>
    </row>
    <row r="2062" spans="1:2" x14ac:dyDescent="0.25">
      <c r="A2062" s="3">
        <v>2057</v>
      </c>
      <c r="B2062" s="3" t="str">
        <f>"00599386"</f>
        <v>00599386</v>
      </c>
    </row>
    <row r="2063" spans="1:2" x14ac:dyDescent="0.25">
      <c r="A2063" s="3">
        <v>2058</v>
      </c>
      <c r="B2063" s="3" t="str">
        <f>"00599578"</f>
        <v>00599578</v>
      </c>
    </row>
    <row r="2064" spans="1:2" x14ac:dyDescent="0.25">
      <c r="A2064" s="3">
        <v>2059</v>
      </c>
      <c r="B2064" s="3" t="str">
        <f>"00599714"</f>
        <v>00599714</v>
      </c>
    </row>
    <row r="2065" spans="1:2" x14ac:dyDescent="0.25">
      <c r="A2065" s="3">
        <v>2060</v>
      </c>
      <c r="B2065" s="3" t="str">
        <f>"00601441"</f>
        <v>00601441</v>
      </c>
    </row>
    <row r="2066" spans="1:2" x14ac:dyDescent="0.25">
      <c r="A2066" s="3">
        <v>2061</v>
      </c>
      <c r="B2066" s="3" t="str">
        <f>"00601522"</f>
        <v>00601522</v>
      </c>
    </row>
    <row r="2067" spans="1:2" x14ac:dyDescent="0.25">
      <c r="A2067" s="3">
        <v>2062</v>
      </c>
      <c r="B2067" s="3" t="str">
        <f>"00601672"</f>
        <v>00601672</v>
      </c>
    </row>
    <row r="2068" spans="1:2" x14ac:dyDescent="0.25">
      <c r="A2068" s="3">
        <v>2063</v>
      </c>
      <c r="B2068" s="3" t="str">
        <f>"00602514"</f>
        <v>00602514</v>
      </c>
    </row>
    <row r="2069" spans="1:2" x14ac:dyDescent="0.25">
      <c r="A2069" s="3">
        <v>2064</v>
      </c>
      <c r="B2069" s="3" t="str">
        <f>"00602737"</f>
        <v>00602737</v>
      </c>
    </row>
    <row r="2070" spans="1:2" x14ac:dyDescent="0.25">
      <c r="A2070" s="3">
        <v>2065</v>
      </c>
      <c r="B2070" s="3" t="str">
        <f>"00602918"</f>
        <v>00602918</v>
      </c>
    </row>
    <row r="2071" spans="1:2" x14ac:dyDescent="0.25">
      <c r="A2071" s="3">
        <v>2066</v>
      </c>
      <c r="B2071" s="3" t="str">
        <f>"00604376"</f>
        <v>00604376</v>
      </c>
    </row>
    <row r="2072" spans="1:2" x14ac:dyDescent="0.25">
      <c r="A2072" s="3">
        <v>2067</v>
      </c>
      <c r="B2072" s="3" t="str">
        <f>"00604455"</f>
        <v>00604455</v>
      </c>
    </row>
    <row r="2073" spans="1:2" x14ac:dyDescent="0.25">
      <c r="A2073" s="3">
        <v>2068</v>
      </c>
      <c r="B2073" s="3" t="str">
        <f>"00604554"</f>
        <v>00604554</v>
      </c>
    </row>
    <row r="2074" spans="1:2" x14ac:dyDescent="0.25">
      <c r="A2074" s="3">
        <v>2069</v>
      </c>
      <c r="B2074" s="3" t="str">
        <f>"00604599"</f>
        <v>00604599</v>
      </c>
    </row>
    <row r="2075" spans="1:2" x14ac:dyDescent="0.25">
      <c r="A2075" s="3">
        <v>2070</v>
      </c>
      <c r="B2075" s="3" t="str">
        <f>"00604670"</f>
        <v>00604670</v>
      </c>
    </row>
    <row r="2076" spans="1:2" x14ac:dyDescent="0.25">
      <c r="A2076" s="3">
        <v>2071</v>
      </c>
      <c r="B2076" s="3" t="str">
        <f>"00604929"</f>
        <v>00604929</v>
      </c>
    </row>
    <row r="2077" spans="1:2" x14ac:dyDescent="0.25">
      <c r="A2077" s="3">
        <v>2072</v>
      </c>
      <c r="B2077" s="3" t="str">
        <f>"00605160"</f>
        <v>00605160</v>
      </c>
    </row>
    <row r="2078" spans="1:2" x14ac:dyDescent="0.25">
      <c r="A2078" s="3">
        <v>2073</v>
      </c>
      <c r="B2078" s="3" t="str">
        <f>"00605709"</f>
        <v>00605709</v>
      </c>
    </row>
    <row r="2079" spans="1:2" x14ac:dyDescent="0.25">
      <c r="A2079" s="3">
        <v>2074</v>
      </c>
      <c r="B2079" s="3" t="str">
        <f>"00606048"</f>
        <v>00606048</v>
      </c>
    </row>
    <row r="2080" spans="1:2" x14ac:dyDescent="0.25">
      <c r="A2080" s="3">
        <v>2075</v>
      </c>
      <c r="B2080" s="3" t="str">
        <f>"00606142"</f>
        <v>00606142</v>
      </c>
    </row>
    <row r="2081" spans="1:2" x14ac:dyDescent="0.25">
      <c r="A2081" s="3">
        <v>2076</v>
      </c>
      <c r="B2081" s="3" t="str">
        <f>"00606359"</f>
        <v>00606359</v>
      </c>
    </row>
    <row r="2082" spans="1:2" x14ac:dyDescent="0.25">
      <c r="A2082" s="3">
        <v>2077</v>
      </c>
      <c r="B2082" s="3" t="str">
        <f>"00606704"</f>
        <v>00606704</v>
      </c>
    </row>
    <row r="2083" spans="1:2" x14ac:dyDescent="0.25">
      <c r="A2083" s="3">
        <v>2078</v>
      </c>
      <c r="B2083" s="3" t="str">
        <f>"00607459"</f>
        <v>00607459</v>
      </c>
    </row>
    <row r="2084" spans="1:2" x14ac:dyDescent="0.25">
      <c r="A2084" s="3">
        <v>2079</v>
      </c>
      <c r="B2084" s="3" t="str">
        <f>"00607991"</f>
        <v>00607991</v>
      </c>
    </row>
    <row r="2085" spans="1:2" x14ac:dyDescent="0.25">
      <c r="A2085" s="3">
        <v>2080</v>
      </c>
      <c r="B2085" s="3" t="str">
        <f>"00608300"</f>
        <v>00608300</v>
      </c>
    </row>
    <row r="2086" spans="1:2" x14ac:dyDescent="0.25">
      <c r="A2086" s="3">
        <v>2081</v>
      </c>
      <c r="B2086" s="3" t="str">
        <f>"00608330"</f>
        <v>00608330</v>
      </c>
    </row>
    <row r="2087" spans="1:2" x14ac:dyDescent="0.25">
      <c r="A2087" s="3">
        <v>2082</v>
      </c>
      <c r="B2087" s="3" t="str">
        <f>"00608770"</f>
        <v>00608770</v>
      </c>
    </row>
    <row r="2088" spans="1:2" x14ac:dyDescent="0.25">
      <c r="A2088" s="3">
        <v>2083</v>
      </c>
      <c r="B2088" s="3" t="str">
        <f>"00609586"</f>
        <v>00609586</v>
      </c>
    </row>
    <row r="2089" spans="1:2" x14ac:dyDescent="0.25">
      <c r="A2089" s="3">
        <v>2084</v>
      </c>
      <c r="B2089" s="3" t="str">
        <f>"00610112"</f>
        <v>00610112</v>
      </c>
    </row>
    <row r="2090" spans="1:2" x14ac:dyDescent="0.25">
      <c r="A2090" s="3">
        <v>2085</v>
      </c>
      <c r="B2090" s="3" t="str">
        <f>"00610236"</f>
        <v>00610236</v>
      </c>
    </row>
    <row r="2091" spans="1:2" x14ac:dyDescent="0.25">
      <c r="A2091" s="3">
        <v>2086</v>
      </c>
      <c r="B2091" s="3" t="str">
        <f>"00610426"</f>
        <v>00610426</v>
      </c>
    </row>
    <row r="2092" spans="1:2" x14ac:dyDescent="0.25">
      <c r="A2092" s="3">
        <v>2087</v>
      </c>
      <c r="B2092" s="3" t="str">
        <f>"00610728"</f>
        <v>00610728</v>
      </c>
    </row>
    <row r="2093" spans="1:2" x14ac:dyDescent="0.25">
      <c r="A2093" s="3">
        <v>2088</v>
      </c>
      <c r="B2093" s="3" t="str">
        <f>"00610900"</f>
        <v>00610900</v>
      </c>
    </row>
    <row r="2094" spans="1:2" x14ac:dyDescent="0.25">
      <c r="A2094" s="3">
        <v>2089</v>
      </c>
      <c r="B2094" s="3" t="str">
        <f>"00611454"</f>
        <v>00611454</v>
      </c>
    </row>
    <row r="2095" spans="1:2" x14ac:dyDescent="0.25">
      <c r="A2095" s="3">
        <v>2090</v>
      </c>
      <c r="B2095" s="3" t="str">
        <f>"00611612"</f>
        <v>00611612</v>
      </c>
    </row>
    <row r="2096" spans="1:2" x14ac:dyDescent="0.25">
      <c r="A2096" s="3">
        <v>2091</v>
      </c>
      <c r="B2096" s="3" t="str">
        <f>"00611842"</f>
        <v>00611842</v>
      </c>
    </row>
    <row r="2097" spans="1:2" x14ac:dyDescent="0.25">
      <c r="A2097" s="3">
        <v>2092</v>
      </c>
      <c r="B2097" s="3" t="str">
        <f>"00611951"</f>
        <v>00611951</v>
      </c>
    </row>
    <row r="2098" spans="1:2" x14ac:dyDescent="0.25">
      <c r="A2098" s="3">
        <v>2093</v>
      </c>
      <c r="B2098" s="3" t="str">
        <f>"00611955"</f>
        <v>00611955</v>
      </c>
    </row>
    <row r="2099" spans="1:2" x14ac:dyDescent="0.25">
      <c r="A2099" s="3">
        <v>2094</v>
      </c>
      <c r="B2099" s="3" t="str">
        <f>"00612017"</f>
        <v>00612017</v>
      </c>
    </row>
    <row r="2100" spans="1:2" x14ac:dyDescent="0.25">
      <c r="A2100" s="3">
        <v>2095</v>
      </c>
      <c r="B2100" s="3" t="str">
        <f>"00612042"</f>
        <v>00612042</v>
      </c>
    </row>
    <row r="2101" spans="1:2" x14ac:dyDescent="0.25">
      <c r="A2101" s="3">
        <v>2096</v>
      </c>
      <c r="B2101" s="3" t="str">
        <f>"00612403"</f>
        <v>00612403</v>
      </c>
    </row>
    <row r="2102" spans="1:2" x14ac:dyDescent="0.25">
      <c r="A2102" s="3">
        <v>2097</v>
      </c>
      <c r="B2102" s="3" t="str">
        <f>"00612681"</f>
        <v>00612681</v>
      </c>
    </row>
    <row r="2103" spans="1:2" x14ac:dyDescent="0.25">
      <c r="A2103" s="3">
        <v>2098</v>
      </c>
      <c r="B2103" s="3" t="str">
        <f>"00613349"</f>
        <v>00613349</v>
      </c>
    </row>
    <row r="2104" spans="1:2" x14ac:dyDescent="0.25">
      <c r="A2104" s="3">
        <v>2099</v>
      </c>
      <c r="B2104" s="3" t="str">
        <f>"00613624"</f>
        <v>00613624</v>
      </c>
    </row>
    <row r="2105" spans="1:2" x14ac:dyDescent="0.25">
      <c r="A2105" s="3">
        <v>2100</v>
      </c>
      <c r="B2105" s="3" t="str">
        <f>"00614341"</f>
        <v>00614341</v>
      </c>
    </row>
    <row r="2106" spans="1:2" x14ac:dyDescent="0.25">
      <c r="A2106" s="3">
        <v>2101</v>
      </c>
      <c r="B2106" s="3" t="str">
        <f>"00614524"</f>
        <v>00614524</v>
      </c>
    </row>
    <row r="2107" spans="1:2" x14ac:dyDescent="0.25">
      <c r="A2107" s="3">
        <v>2102</v>
      </c>
      <c r="B2107" s="3" t="str">
        <f>"00615185"</f>
        <v>00615185</v>
      </c>
    </row>
    <row r="2108" spans="1:2" x14ac:dyDescent="0.25">
      <c r="A2108" s="3">
        <v>2103</v>
      </c>
      <c r="B2108" s="3" t="str">
        <f>"00616096"</f>
        <v>00616096</v>
      </c>
    </row>
    <row r="2109" spans="1:2" x14ac:dyDescent="0.25">
      <c r="A2109" s="3">
        <v>2104</v>
      </c>
      <c r="B2109" s="3" t="str">
        <f>"00616328"</f>
        <v>00616328</v>
      </c>
    </row>
    <row r="2110" spans="1:2" x14ac:dyDescent="0.25">
      <c r="A2110" s="3">
        <v>2105</v>
      </c>
      <c r="B2110" s="3" t="str">
        <f>"00616918"</f>
        <v>00616918</v>
      </c>
    </row>
    <row r="2111" spans="1:2" x14ac:dyDescent="0.25">
      <c r="A2111" s="3">
        <v>2106</v>
      </c>
      <c r="B2111" s="3" t="str">
        <f>"00618394"</f>
        <v>00618394</v>
      </c>
    </row>
    <row r="2112" spans="1:2" x14ac:dyDescent="0.25">
      <c r="A2112" s="3">
        <v>2107</v>
      </c>
      <c r="B2112" s="3" t="str">
        <f>"00618568"</f>
        <v>00618568</v>
      </c>
    </row>
    <row r="2113" spans="1:2" x14ac:dyDescent="0.25">
      <c r="A2113" s="3">
        <v>2108</v>
      </c>
      <c r="B2113" s="3" t="str">
        <f>"00619110"</f>
        <v>00619110</v>
      </c>
    </row>
    <row r="2114" spans="1:2" x14ac:dyDescent="0.25">
      <c r="A2114" s="3">
        <v>2109</v>
      </c>
      <c r="B2114" s="3" t="str">
        <f>"00619909"</f>
        <v>00619909</v>
      </c>
    </row>
    <row r="2115" spans="1:2" x14ac:dyDescent="0.25">
      <c r="A2115" s="3">
        <v>2110</v>
      </c>
      <c r="B2115" s="3" t="str">
        <f>"00620392"</f>
        <v>00620392</v>
      </c>
    </row>
    <row r="2116" spans="1:2" x14ac:dyDescent="0.25">
      <c r="A2116" s="3">
        <v>2111</v>
      </c>
      <c r="B2116" s="3" t="str">
        <f>"00620554"</f>
        <v>00620554</v>
      </c>
    </row>
    <row r="2117" spans="1:2" x14ac:dyDescent="0.25">
      <c r="A2117" s="3">
        <v>2112</v>
      </c>
      <c r="B2117" s="3" t="str">
        <f>"00620626"</f>
        <v>00620626</v>
      </c>
    </row>
    <row r="2118" spans="1:2" x14ac:dyDescent="0.25">
      <c r="A2118" s="3">
        <v>2113</v>
      </c>
      <c r="B2118" s="3" t="str">
        <f>"00621120"</f>
        <v>00621120</v>
      </c>
    </row>
    <row r="2119" spans="1:2" x14ac:dyDescent="0.25">
      <c r="A2119" s="3">
        <v>2114</v>
      </c>
      <c r="B2119" s="3" t="str">
        <f>"00621344"</f>
        <v>00621344</v>
      </c>
    </row>
    <row r="2120" spans="1:2" x14ac:dyDescent="0.25">
      <c r="A2120" s="3">
        <v>2115</v>
      </c>
      <c r="B2120" s="3" t="str">
        <f>"00621985"</f>
        <v>00621985</v>
      </c>
    </row>
    <row r="2121" spans="1:2" x14ac:dyDescent="0.25">
      <c r="A2121" s="3">
        <v>2116</v>
      </c>
      <c r="B2121" s="3" t="str">
        <f>"00622010"</f>
        <v>00622010</v>
      </c>
    </row>
    <row r="2122" spans="1:2" x14ac:dyDescent="0.25">
      <c r="A2122" s="3">
        <v>2117</v>
      </c>
      <c r="B2122" s="3" t="str">
        <f>"00622126"</f>
        <v>00622126</v>
      </c>
    </row>
    <row r="2123" spans="1:2" x14ac:dyDescent="0.25">
      <c r="A2123" s="3">
        <v>2118</v>
      </c>
      <c r="B2123" s="3" t="str">
        <f>"00622181"</f>
        <v>00622181</v>
      </c>
    </row>
    <row r="2124" spans="1:2" x14ac:dyDescent="0.25">
      <c r="A2124" s="3">
        <v>2119</v>
      </c>
      <c r="B2124" s="3" t="str">
        <f>"00623246"</f>
        <v>00623246</v>
      </c>
    </row>
    <row r="2125" spans="1:2" x14ac:dyDescent="0.25">
      <c r="A2125" s="3">
        <v>2120</v>
      </c>
      <c r="B2125" s="3" t="str">
        <f>"00623824"</f>
        <v>00623824</v>
      </c>
    </row>
    <row r="2126" spans="1:2" x14ac:dyDescent="0.25">
      <c r="A2126" s="3">
        <v>2121</v>
      </c>
      <c r="B2126" s="3" t="str">
        <f>"00623952"</f>
        <v>00623952</v>
      </c>
    </row>
    <row r="2127" spans="1:2" x14ac:dyDescent="0.25">
      <c r="A2127" s="3">
        <v>2122</v>
      </c>
      <c r="B2127" s="3" t="str">
        <f>"00623964"</f>
        <v>00623964</v>
      </c>
    </row>
    <row r="2128" spans="1:2" x14ac:dyDescent="0.25">
      <c r="A2128" s="3">
        <v>2123</v>
      </c>
      <c r="B2128" s="3" t="str">
        <f>"00623984"</f>
        <v>00623984</v>
      </c>
    </row>
    <row r="2129" spans="1:2" x14ac:dyDescent="0.25">
      <c r="A2129" s="3">
        <v>2124</v>
      </c>
      <c r="B2129" s="3" t="str">
        <f>"00624222"</f>
        <v>00624222</v>
      </c>
    </row>
    <row r="2130" spans="1:2" x14ac:dyDescent="0.25">
      <c r="A2130" s="3">
        <v>2125</v>
      </c>
      <c r="B2130" s="3" t="str">
        <f>"00624233"</f>
        <v>00624233</v>
      </c>
    </row>
    <row r="2131" spans="1:2" x14ac:dyDescent="0.25">
      <c r="A2131" s="3">
        <v>2126</v>
      </c>
      <c r="B2131" s="3" t="str">
        <f>"00625259"</f>
        <v>00625259</v>
      </c>
    </row>
    <row r="2132" spans="1:2" x14ac:dyDescent="0.25">
      <c r="A2132" s="3">
        <v>2127</v>
      </c>
      <c r="B2132" s="3" t="str">
        <f>"00625640"</f>
        <v>00625640</v>
      </c>
    </row>
    <row r="2133" spans="1:2" x14ac:dyDescent="0.25">
      <c r="A2133" s="3">
        <v>2128</v>
      </c>
      <c r="B2133" s="3" t="str">
        <f>"00625681"</f>
        <v>00625681</v>
      </c>
    </row>
    <row r="2134" spans="1:2" x14ac:dyDescent="0.25">
      <c r="A2134" s="3">
        <v>2129</v>
      </c>
      <c r="B2134" s="3" t="str">
        <f>"00626293"</f>
        <v>00626293</v>
      </c>
    </row>
    <row r="2135" spans="1:2" x14ac:dyDescent="0.25">
      <c r="A2135" s="3">
        <v>2130</v>
      </c>
      <c r="B2135" s="3" t="str">
        <f>"00628814"</f>
        <v>00628814</v>
      </c>
    </row>
    <row r="2136" spans="1:2" x14ac:dyDescent="0.25">
      <c r="A2136" s="3">
        <v>2131</v>
      </c>
      <c r="B2136" s="3" t="str">
        <f>"00628876"</f>
        <v>00628876</v>
      </c>
    </row>
    <row r="2137" spans="1:2" x14ac:dyDescent="0.25">
      <c r="A2137" s="3">
        <v>2132</v>
      </c>
      <c r="B2137" s="3" t="str">
        <f>"00629280"</f>
        <v>00629280</v>
      </c>
    </row>
    <row r="2138" spans="1:2" x14ac:dyDescent="0.25">
      <c r="A2138" s="3">
        <v>2133</v>
      </c>
      <c r="B2138" s="3" t="str">
        <f>"00629349"</f>
        <v>00629349</v>
      </c>
    </row>
    <row r="2139" spans="1:2" x14ac:dyDescent="0.25">
      <c r="A2139" s="3">
        <v>2134</v>
      </c>
      <c r="B2139" s="3" t="str">
        <f>"00629572"</f>
        <v>00629572</v>
      </c>
    </row>
    <row r="2140" spans="1:2" x14ac:dyDescent="0.25">
      <c r="A2140" s="3">
        <v>2135</v>
      </c>
      <c r="B2140" s="3" t="str">
        <f>"00630306"</f>
        <v>00630306</v>
      </c>
    </row>
    <row r="2141" spans="1:2" x14ac:dyDescent="0.25">
      <c r="A2141" s="3">
        <v>2136</v>
      </c>
      <c r="B2141" s="3" t="str">
        <f>"00631003"</f>
        <v>00631003</v>
      </c>
    </row>
    <row r="2142" spans="1:2" x14ac:dyDescent="0.25">
      <c r="A2142" s="3">
        <v>2137</v>
      </c>
      <c r="B2142" s="3" t="str">
        <f>"00631210"</f>
        <v>00631210</v>
      </c>
    </row>
    <row r="2143" spans="1:2" x14ac:dyDescent="0.25">
      <c r="A2143" s="3">
        <v>2138</v>
      </c>
      <c r="B2143" s="3" t="str">
        <f>"00631602"</f>
        <v>00631602</v>
      </c>
    </row>
    <row r="2144" spans="1:2" x14ac:dyDescent="0.25">
      <c r="A2144" s="3">
        <v>2139</v>
      </c>
      <c r="B2144" s="3" t="str">
        <f>"00631873"</f>
        <v>00631873</v>
      </c>
    </row>
    <row r="2145" spans="1:2" x14ac:dyDescent="0.25">
      <c r="A2145" s="3">
        <v>2140</v>
      </c>
      <c r="B2145" s="3" t="str">
        <f>"00633691"</f>
        <v>00633691</v>
      </c>
    </row>
    <row r="2146" spans="1:2" x14ac:dyDescent="0.25">
      <c r="A2146" s="3">
        <v>2141</v>
      </c>
      <c r="B2146" s="3" t="str">
        <f>"00633899"</f>
        <v>00633899</v>
      </c>
    </row>
    <row r="2147" spans="1:2" x14ac:dyDescent="0.25">
      <c r="A2147" s="3">
        <v>2142</v>
      </c>
      <c r="B2147" s="3" t="str">
        <f>"00634370"</f>
        <v>00634370</v>
      </c>
    </row>
    <row r="2148" spans="1:2" x14ac:dyDescent="0.25">
      <c r="A2148" s="3">
        <v>2143</v>
      </c>
      <c r="B2148" s="3" t="str">
        <f>"00634516"</f>
        <v>00634516</v>
      </c>
    </row>
    <row r="2149" spans="1:2" x14ac:dyDescent="0.25">
      <c r="A2149" s="3">
        <v>2144</v>
      </c>
      <c r="B2149" s="3" t="str">
        <f>"00634574"</f>
        <v>00634574</v>
      </c>
    </row>
    <row r="2150" spans="1:2" x14ac:dyDescent="0.25">
      <c r="A2150" s="3">
        <v>2145</v>
      </c>
      <c r="B2150" s="3" t="str">
        <f>"00634644"</f>
        <v>00634644</v>
      </c>
    </row>
    <row r="2151" spans="1:2" x14ac:dyDescent="0.25">
      <c r="A2151" s="3">
        <v>2146</v>
      </c>
      <c r="B2151" s="3" t="str">
        <f>"00634844"</f>
        <v>00634844</v>
      </c>
    </row>
    <row r="2152" spans="1:2" x14ac:dyDescent="0.25">
      <c r="A2152" s="3">
        <v>2147</v>
      </c>
      <c r="B2152" s="3" t="str">
        <f>"00635276"</f>
        <v>00635276</v>
      </c>
    </row>
    <row r="2153" spans="1:2" x14ac:dyDescent="0.25">
      <c r="A2153" s="3">
        <v>2148</v>
      </c>
      <c r="B2153" s="3" t="str">
        <f>"00636501"</f>
        <v>00636501</v>
      </c>
    </row>
    <row r="2154" spans="1:2" x14ac:dyDescent="0.25">
      <c r="A2154" s="3">
        <v>2149</v>
      </c>
      <c r="B2154" s="3" t="str">
        <f>"00636797"</f>
        <v>00636797</v>
      </c>
    </row>
    <row r="2155" spans="1:2" x14ac:dyDescent="0.25">
      <c r="A2155" s="3">
        <v>2150</v>
      </c>
      <c r="B2155" s="3" t="str">
        <f>"00637343"</f>
        <v>00637343</v>
      </c>
    </row>
    <row r="2156" spans="1:2" x14ac:dyDescent="0.25">
      <c r="A2156" s="3">
        <v>2151</v>
      </c>
      <c r="B2156" s="3" t="str">
        <f>"00637352"</f>
        <v>00637352</v>
      </c>
    </row>
    <row r="2157" spans="1:2" x14ac:dyDescent="0.25">
      <c r="A2157" s="3">
        <v>2152</v>
      </c>
      <c r="B2157" s="3" t="str">
        <f>"00637393"</f>
        <v>00637393</v>
      </c>
    </row>
    <row r="2158" spans="1:2" x14ac:dyDescent="0.25">
      <c r="A2158" s="3">
        <v>2153</v>
      </c>
      <c r="B2158" s="3" t="str">
        <f>"00637749"</f>
        <v>00637749</v>
      </c>
    </row>
    <row r="2159" spans="1:2" x14ac:dyDescent="0.25">
      <c r="A2159" s="3">
        <v>2154</v>
      </c>
      <c r="B2159" s="3" t="str">
        <f>"00637962"</f>
        <v>00637962</v>
      </c>
    </row>
    <row r="2160" spans="1:2" x14ac:dyDescent="0.25">
      <c r="A2160" s="3">
        <v>2155</v>
      </c>
      <c r="B2160" s="3" t="str">
        <f>"00637975"</f>
        <v>00637975</v>
      </c>
    </row>
    <row r="2161" spans="1:2" x14ac:dyDescent="0.25">
      <c r="A2161" s="3">
        <v>2156</v>
      </c>
      <c r="B2161" s="3" t="str">
        <f>"00638559"</f>
        <v>00638559</v>
      </c>
    </row>
    <row r="2162" spans="1:2" x14ac:dyDescent="0.25">
      <c r="A2162" s="3">
        <v>2157</v>
      </c>
      <c r="B2162" s="3" t="str">
        <f>"00638724"</f>
        <v>00638724</v>
      </c>
    </row>
    <row r="2163" spans="1:2" x14ac:dyDescent="0.25">
      <c r="A2163" s="3">
        <v>2158</v>
      </c>
      <c r="B2163" s="3" t="str">
        <f>"00639042"</f>
        <v>00639042</v>
      </c>
    </row>
    <row r="2164" spans="1:2" x14ac:dyDescent="0.25">
      <c r="A2164" s="3">
        <v>2159</v>
      </c>
      <c r="B2164" s="3" t="str">
        <f>"00639116"</f>
        <v>00639116</v>
      </c>
    </row>
    <row r="2165" spans="1:2" x14ac:dyDescent="0.25">
      <c r="A2165" s="3">
        <v>2160</v>
      </c>
      <c r="B2165" s="3" t="str">
        <f>"00639514"</f>
        <v>00639514</v>
      </c>
    </row>
    <row r="2166" spans="1:2" x14ac:dyDescent="0.25">
      <c r="A2166" s="3">
        <v>2161</v>
      </c>
      <c r="B2166" s="3" t="str">
        <f>"00639811"</f>
        <v>00639811</v>
      </c>
    </row>
    <row r="2167" spans="1:2" x14ac:dyDescent="0.25">
      <c r="A2167" s="3">
        <v>2162</v>
      </c>
      <c r="B2167" s="3" t="str">
        <f>"00640145"</f>
        <v>00640145</v>
      </c>
    </row>
    <row r="2168" spans="1:2" x14ac:dyDescent="0.25">
      <c r="A2168" s="3">
        <v>2163</v>
      </c>
      <c r="B2168" s="3" t="str">
        <f>"00641529"</f>
        <v>00641529</v>
      </c>
    </row>
    <row r="2169" spans="1:2" x14ac:dyDescent="0.25">
      <c r="A2169" s="3">
        <v>2164</v>
      </c>
      <c r="B2169" s="3" t="str">
        <f>"00642206"</f>
        <v>00642206</v>
      </c>
    </row>
    <row r="2170" spans="1:2" x14ac:dyDescent="0.25">
      <c r="A2170" s="3">
        <v>2165</v>
      </c>
      <c r="B2170" s="3" t="str">
        <f>"00642643"</f>
        <v>00642643</v>
      </c>
    </row>
    <row r="2171" spans="1:2" x14ac:dyDescent="0.25">
      <c r="A2171" s="3">
        <v>2166</v>
      </c>
      <c r="B2171" s="3" t="str">
        <f>"00642922"</f>
        <v>00642922</v>
      </c>
    </row>
    <row r="2172" spans="1:2" x14ac:dyDescent="0.25">
      <c r="A2172" s="3">
        <v>2167</v>
      </c>
      <c r="B2172" s="3" t="str">
        <f>"00642957"</f>
        <v>00642957</v>
      </c>
    </row>
    <row r="2173" spans="1:2" x14ac:dyDescent="0.25">
      <c r="A2173" s="3">
        <v>2168</v>
      </c>
      <c r="B2173" s="3" t="str">
        <f>"00643235"</f>
        <v>00643235</v>
      </c>
    </row>
    <row r="2174" spans="1:2" x14ac:dyDescent="0.25">
      <c r="A2174" s="3">
        <v>2169</v>
      </c>
      <c r="B2174" s="3" t="str">
        <f>"00643287"</f>
        <v>00643287</v>
      </c>
    </row>
    <row r="2175" spans="1:2" x14ac:dyDescent="0.25">
      <c r="A2175" s="3">
        <v>2170</v>
      </c>
      <c r="B2175" s="3" t="str">
        <f>"00643499"</f>
        <v>00643499</v>
      </c>
    </row>
    <row r="2176" spans="1:2" x14ac:dyDescent="0.25">
      <c r="A2176" s="3">
        <v>2171</v>
      </c>
      <c r="B2176" s="3" t="str">
        <f>"00644186"</f>
        <v>00644186</v>
      </c>
    </row>
    <row r="2177" spans="1:2" x14ac:dyDescent="0.25">
      <c r="A2177" s="3">
        <v>2172</v>
      </c>
      <c r="B2177" s="3" t="str">
        <f>"00644374"</f>
        <v>00644374</v>
      </c>
    </row>
    <row r="2178" spans="1:2" x14ac:dyDescent="0.25">
      <c r="A2178" s="3">
        <v>2173</v>
      </c>
      <c r="B2178" s="3" t="str">
        <f>"00644551"</f>
        <v>00644551</v>
      </c>
    </row>
    <row r="2179" spans="1:2" x14ac:dyDescent="0.25">
      <c r="A2179" s="3">
        <v>2174</v>
      </c>
      <c r="B2179" s="3" t="str">
        <f>"00644962"</f>
        <v>00644962</v>
      </c>
    </row>
    <row r="2180" spans="1:2" x14ac:dyDescent="0.25">
      <c r="A2180" s="3">
        <v>2175</v>
      </c>
      <c r="B2180" s="3" t="str">
        <f>"00647737"</f>
        <v>00647737</v>
      </c>
    </row>
    <row r="2181" spans="1:2" x14ac:dyDescent="0.25">
      <c r="A2181" s="3">
        <v>2176</v>
      </c>
      <c r="B2181" s="3" t="str">
        <f>"00648565"</f>
        <v>00648565</v>
      </c>
    </row>
    <row r="2182" spans="1:2" x14ac:dyDescent="0.25">
      <c r="A2182" s="3">
        <v>2177</v>
      </c>
      <c r="B2182" s="3" t="str">
        <f>"00648769"</f>
        <v>00648769</v>
      </c>
    </row>
    <row r="2183" spans="1:2" x14ac:dyDescent="0.25">
      <c r="A2183" s="3">
        <v>2178</v>
      </c>
      <c r="B2183" s="3" t="str">
        <f>"00649087"</f>
        <v>00649087</v>
      </c>
    </row>
    <row r="2184" spans="1:2" x14ac:dyDescent="0.25">
      <c r="A2184" s="3">
        <v>2179</v>
      </c>
      <c r="B2184" s="3" t="str">
        <f>"00649763"</f>
        <v>00649763</v>
      </c>
    </row>
    <row r="2185" spans="1:2" x14ac:dyDescent="0.25">
      <c r="A2185" s="3">
        <v>2180</v>
      </c>
      <c r="B2185" s="3" t="str">
        <f>"00650880"</f>
        <v>00650880</v>
      </c>
    </row>
    <row r="2186" spans="1:2" x14ac:dyDescent="0.25">
      <c r="A2186" s="3">
        <v>2181</v>
      </c>
      <c r="B2186" s="3" t="str">
        <f>"00650890"</f>
        <v>00650890</v>
      </c>
    </row>
    <row r="2187" spans="1:2" x14ac:dyDescent="0.25">
      <c r="A2187" s="3">
        <v>2182</v>
      </c>
      <c r="B2187" s="3" t="str">
        <f>"00650927"</f>
        <v>00650927</v>
      </c>
    </row>
    <row r="2188" spans="1:2" x14ac:dyDescent="0.25">
      <c r="A2188" s="3">
        <v>2183</v>
      </c>
      <c r="B2188" s="3" t="str">
        <f>"00651055"</f>
        <v>00651055</v>
      </c>
    </row>
    <row r="2189" spans="1:2" x14ac:dyDescent="0.25">
      <c r="A2189" s="3">
        <v>2184</v>
      </c>
      <c r="B2189" s="3" t="str">
        <f>"00651726"</f>
        <v>00651726</v>
      </c>
    </row>
    <row r="2190" spans="1:2" x14ac:dyDescent="0.25">
      <c r="A2190" s="3">
        <v>2185</v>
      </c>
      <c r="B2190" s="3" t="str">
        <f>"00652341"</f>
        <v>00652341</v>
      </c>
    </row>
    <row r="2191" spans="1:2" x14ac:dyDescent="0.25">
      <c r="A2191" s="3">
        <v>2186</v>
      </c>
      <c r="B2191" s="3" t="str">
        <f>"00652385"</f>
        <v>00652385</v>
      </c>
    </row>
    <row r="2192" spans="1:2" x14ac:dyDescent="0.25">
      <c r="A2192" s="3">
        <v>2187</v>
      </c>
      <c r="B2192" s="3" t="str">
        <f>"00652778"</f>
        <v>00652778</v>
      </c>
    </row>
    <row r="2193" spans="1:2" x14ac:dyDescent="0.25">
      <c r="A2193" s="3">
        <v>2188</v>
      </c>
      <c r="B2193" s="3" t="str">
        <f>"00653126"</f>
        <v>00653126</v>
      </c>
    </row>
    <row r="2194" spans="1:2" x14ac:dyDescent="0.25">
      <c r="A2194" s="3">
        <v>2189</v>
      </c>
      <c r="B2194" s="3" t="str">
        <f>"00653164"</f>
        <v>00653164</v>
      </c>
    </row>
    <row r="2195" spans="1:2" x14ac:dyDescent="0.25">
      <c r="A2195" s="3">
        <v>2190</v>
      </c>
      <c r="B2195" s="3" t="str">
        <f>"00653246"</f>
        <v>00653246</v>
      </c>
    </row>
    <row r="2196" spans="1:2" x14ac:dyDescent="0.25">
      <c r="A2196" s="3">
        <v>2191</v>
      </c>
      <c r="B2196" s="3" t="str">
        <f>"00653618"</f>
        <v>00653618</v>
      </c>
    </row>
    <row r="2197" spans="1:2" x14ac:dyDescent="0.25">
      <c r="A2197" s="3">
        <v>2192</v>
      </c>
      <c r="B2197" s="3" t="str">
        <f>"00654200"</f>
        <v>00654200</v>
      </c>
    </row>
    <row r="2198" spans="1:2" x14ac:dyDescent="0.25">
      <c r="A2198" s="3">
        <v>2193</v>
      </c>
      <c r="B2198" s="3" t="str">
        <f>"00654478"</f>
        <v>00654478</v>
      </c>
    </row>
    <row r="2199" spans="1:2" x14ac:dyDescent="0.25">
      <c r="A2199" s="3">
        <v>2194</v>
      </c>
      <c r="B2199" s="3" t="str">
        <f>"00654574"</f>
        <v>00654574</v>
      </c>
    </row>
    <row r="2200" spans="1:2" x14ac:dyDescent="0.25">
      <c r="A2200" s="3">
        <v>2195</v>
      </c>
      <c r="B2200" s="3" t="str">
        <f>"00654600"</f>
        <v>00654600</v>
      </c>
    </row>
    <row r="2201" spans="1:2" x14ac:dyDescent="0.25">
      <c r="A2201" s="3">
        <v>2196</v>
      </c>
      <c r="B2201" s="3" t="str">
        <f>"00655460"</f>
        <v>00655460</v>
      </c>
    </row>
    <row r="2202" spans="1:2" x14ac:dyDescent="0.25">
      <c r="A2202" s="3">
        <v>2197</v>
      </c>
      <c r="B2202" s="3" t="str">
        <f>"00655532"</f>
        <v>00655532</v>
      </c>
    </row>
    <row r="2203" spans="1:2" x14ac:dyDescent="0.25">
      <c r="A2203" s="3">
        <v>2198</v>
      </c>
      <c r="B2203" s="3" t="str">
        <f>"00655690"</f>
        <v>00655690</v>
      </c>
    </row>
    <row r="2204" spans="1:2" x14ac:dyDescent="0.25">
      <c r="A2204" s="3">
        <v>2199</v>
      </c>
      <c r="B2204" s="3" t="str">
        <f>"00655881"</f>
        <v>00655881</v>
      </c>
    </row>
    <row r="2205" spans="1:2" x14ac:dyDescent="0.25">
      <c r="A2205" s="3">
        <v>2200</v>
      </c>
      <c r="B2205" s="3" t="str">
        <f>"00655932"</f>
        <v>00655932</v>
      </c>
    </row>
    <row r="2206" spans="1:2" x14ac:dyDescent="0.25">
      <c r="A2206" s="3">
        <v>2201</v>
      </c>
      <c r="B2206" s="3" t="str">
        <f>"00655987"</f>
        <v>00655987</v>
      </c>
    </row>
    <row r="2207" spans="1:2" x14ac:dyDescent="0.25">
      <c r="A2207" s="3">
        <v>2202</v>
      </c>
      <c r="B2207" s="3" t="str">
        <f>"00656313"</f>
        <v>00656313</v>
      </c>
    </row>
    <row r="2208" spans="1:2" x14ac:dyDescent="0.25">
      <c r="A2208" s="3">
        <v>2203</v>
      </c>
      <c r="B2208" s="3" t="str">
        <f>"00656348"</f>
        <v>00656348</v>
      </c>
    </row>
    <row r="2209" spans="1:2" x14ac:dyDescent="0.25">
      <c r="A2209" s="3">
        <v>2204</v>
      </c>
      <c r="B2209" s="3" t="str">
        <f>"00656554"</f>
        <v>00656554</v>
      </c>
    </row>
    <row r="2210" spans="1:2" x14ac:dyDescent="0.25">
      <c r="A2210" s="3">
        <v>2205</v>
      </c>
      <c r="B2210" s="3" t="str">
        <f>"00656663"</f>
        <v>00656663</v>
      </c>
    </row>
    <row r="2211" spans="1:2" x14ac:dyDescent="0.25">
      <c r="A2211" s="3">
        <v>2206</v>
      </c>
      <c r="B2211" s="3" t="str">
        <f>"00656700"</f>
        <v>00656700</v>
      </c>
    </row>
    <row r="2212" spans="1:2" x14ac:dyDescent="0.25">
      <c r="A2212" s="3">
        <v>2207</v>
      </c>
      <c r="B2212" s="3" t="str">
        <f>"00656771"</f>
        <v>00656771</v>
      </c>
    </row>
    <row r="2213" spans="1:2" x14ac:dyDescent="0.25">
      <c r="A2213" s="3">
        <v>2208</v>
      </c>
      <c r="B2213" s="3" t="str">
        <f>"00656775"</f>
        <v>00656775</v>
      </c>
    </row>
    <row r="2214" spans="1:2" x14ac:dyDescent="0.25">
      <c r="A2214" s="3">
        <v>2209</v>
      </c>
      <c r="B2214" s="3" t="str">
        <f>"00656858"</f>
        <v>00656858</v>
      </c>
    </row>
    <row r="2215" spans="1:2" x14ac:dyDescent="0.25">
      <c r="A2215" s="3">
        <v>2210</v>
      </c>
      <c r="B2215" s="3" t="str">
        <f>"00657216"</f>
        <v>00657216</v>
      </c>
    </row>
    <row r="2216" spans="1:2" x14ac:dyDescent="0.25">
      <c r="A2216" s="3">
        <v>2211</v>
      </c>
      <c r="B2216" s="3" t="str">
        <f>"00657273"</f>
        <v>00657273</v>
      </c>
    </row>
    <row r="2217" spans="1:2" x14ac:dyDescent="0.25">
      <c r="A2217" s="3">
        <v>2212</v>
      </c>
      <c r="B2217" s="3" t="str">
        <f>"00657525"</f>
        <v>00657525</v>
      </c>
    </row>
    <row r="2218" spans="1:2" x14ac:dyDescent="0.25">
      <c r="A2218" s="3">
        <v>2213</v>
      </c>
      <c r="B2218" s="3" t="str">
        <f>"00657809"</f>
        <v>00657809</v>
      </c>
    </row>
    <row r="2219" spans="1:2" x14ac:dyDescent="0.25">
      <c r="A2219" s="3">
        <v>2214</v>
      </c>
      <c r="B2219" s="3" t="str">
        <f>"00657827"</f>
        <v>00657827</v>
      </c>
    </row>
    <row r="2220" spans="1:2" x14ac:dyDescent="0.25">
      <c r="A2220" s="3">
        <v>2215</v>
      </c>
      <c r="B2220" s="3" t="str">
        <f>"00657841"</f>
        <v>00657841</v>
      </c>
    </row>
    <row r="2221" spans="1:2" x14ac:dyDescent="0.25">
      <c r="A2221" s="3">
        <v>2216</v>
      </c>
      <c r="B2221" s="3" t="str">
        <f>"00657927"</f>
        <v>00657927</v>
      </c>
    </row>
    <row r="2222" spans="1:2" x14ac:dyDescent="0.25">
      <c r="A2222" s="3">
        <v>2217</v>
      </c>
      <c r="B2222" s="3" t="str">
        <f>"00658002"</f>
        <v>00658002</v>
      </c>
    </row>
    <row r="2223" spans="1:2" x14ac:dyDescent="0.25">
      <c r="A2223" s="3">
        <v>2218</v>
      </c>
      <c r="B2223" s="3" t="str">
        <f>"00658124"</f>
        <v>00658124</v>
      </c>
    </row>
    <row r="2224" spans="1:2" x14ac:dyDescent="0.25">
      <c r="A2224" s="3">
        <v>2219</v>
      </c>
      <c r="B2224" s="3" t="str">
        <f>"00658254"</f>
        <v>00658254</v>
      </c>
    </row>
    <row r="2225" spans="1:2" x14ac:dyDescent="0.25">
      <c r="A2225" s="3">
        <v>2220</v>
      </c>
      <c r="B2225" s="3" t="str">
        <f>"00658587"</f>
        <v>00658587</v>
      </c>
    </row>
    <row r="2226" spans="1:2" x14ac:dyDescent="0.25">
      <c r="A2226" s="3">
        <v>2221</v>
      </c>
      <c r="B2226" s="3" t="str">
        <f>"00658623"</f>
        <v>00658623</v>
      </c>
    </row>
    <row r="2227" spans="1:2" x14ac:dyDescent="0.25">
      <c r="A2227" s="3">
        <v>2222</v>
      </c>
      <c r="B2227" s="3" t="str">
        <f>"00658702"</f>
        <v>00658702</v>
      </c>
    </row>
    <row r="2228" spans="1:2" x14ac:dyDescent="0.25">
      <c r="A2228" s="3">
        <v>2223</v>
      </c>
      <c r="B2228" s="3" t="str">
        <f>"00658779"</f>
        <v>00658779</v>
      </c>
    </row>
    <row r="2229" spans="1:2" x14ac:dyDescent="0.25">
      <c r="A2229" s="3">
        <v>2224</v>
      </c>
      <c r="B2229" s="3" t="str">
        <f>"00658848"</f>
        <v>00658848</v>
      </c>
    </row>
    <row r="2230" spans="1:2" x14ac:dyDescent="0.25">
      <c r="A2230" s="3">
        <v>2225</v>
      </c>
      <c r="B2230" s="3" t="str">
        <f>"00659079"</f>
        <v>00659079</v>
      </c>
    </row>
    <row r="2231" spans="1:2" x14ac:dyDescent="0.25">
      <c r="A2231" s="3">
        <v>2226</v>
      </c>
      <c r="B2231" s="3" t="str">
        <f>"00659108"</f>
        <v>00659108</v>
      </c>
    </row>
    <row r="2232" spans="1:2" x14ac:dyDescent="0.25">
      <c r="A2232" s="3">
        <v>2227</v>
      </c>
      <c r="B2232" s="3" t="str">
        <f>"00659212"</f>
        <v>00659212</v>
      </c>
    </row>
    <row r="2233" spans="1:2" x14ac:dyDescent="0.25">
      <c r="A2233" s="3">
        <v>2228</v>
      </c>
      <c r="B2233" s="3" t="str">
        <f>"00659262"</f>
        <v>00659262</v>
      </c>
    </row>
    <row r="2234" spans="1:2" x14ac:dyDescent="0.25">
      <c r="A2234" s="3">
        <v>2229</v>
      </c>
      <c r="B2234" s="3" t="str">
        <f>"00659383"</f>
        <v>00659383</v>
      </c>
    </row>
    <row r="2235" spans="1:2" x14ac:dyDescent="0.25">
      <c r="A2235" s="3">
        <v>2230</v>
      </c>
      <c r="B2235" s="3" t="str">
        <f>"00659442"</f>
        <v>00659442</v>
      </c>
    </row>
    <row r="2236" spans="1:2" x14ac:dyDescent="0.25">
      <c r="A2236" s="3">
        <v>2231</v>
      </c>
      <c r="B2236" s="3" t="str">
        <f>"00659582"</f>
        <v>00659582</v>
      </c>
    </row>
    <row r="2237" spans="1:2" x14ac:dyDescent="0.25">
      <c r="A2237" s="3">
        <v>2232</v>
      </c>
      <c r="B2237" s="3" t="str">
        <f>"00659583"</f>
        <v>00659583</v>
      </c>
    </row>
    <row r="2238" spans="1:2" x14ac:dyDescent="0.25">
      <c r="A2238" s="3">
        <v>2233</v>
      </c>
      <c r="B2238" s="3" t="str">
        <f>"00659739"</f>
        <v>00659739</v>
      </c>
    </row>
    <row r="2239" spans="1:2" x14ac:dyDescent="0.25">
      <c r="A2239" s="3">
        <v>2234</v>
      </c>
      <c r="B2239" s="3" t="str">
        <f>"00659831"</f>
        <v>00659831</v>
      </c>
    </row>
    <row r="2240" spans="1:2" x14ac:dyDescent="0.25">
      <c r="A2240" s="3">
        <v>2235</v>
      </c>
      <c r="B2240" s="3" t="str">
        <f>"00660088"</f>
        <v>00660088</v>
      </c>
    </row>
    <row r="2241" spans="1:2" x14ac:dyDescent="0.25">
      <c r="A2241" s="3">
        <v>2236</v>
      </c>
      <c r="B2241" s="3" t="str">
        <f>"00660234"</f>
        <v>00660234</v>
      </c>
    </row>
    <row r="2242" spans="1:2" x14ac:dyDescent="0.25">
      <c r="A2242" s="3">
        <v>2237</v>
      </c>
      <c r="B2242" s="3" t="str">
        <f>"00660250"</f>
        <v>00660250</v>
      </c>
    </row>
    <row r="2243" spans="1:2" x14ac:dyDescent="0.25">
      <c r="A2243" s="3">
        <v>2238</v>
      </c>
      <c r="B2243" s="3" t="str">
        <f>"00660509"</f>
        <v>00660509</v>
      </c>
    </row>
    <row r="2244" spans="1:2" x14ac:dyDescent="0.25">
      <c r="A2244" s="3">
        <v>2239</v>
      </c>
      <c r="B2244" s="3" t="str">
        <f>"00660673"</f>
        <v>00660673</v>
      </c>
    </row>
    <row r="2245" spans="1:2" x14ac:dyDescent="0.25">
      <c r="A2245" s="3">
        <v>2240</v>
      </c>
      <c r="B2245" s="3" t="str">
        <f>"00660724"</f>
        <v>00660724</v>
      </c>
    </row>
    <row r="2246" spans="1:2" x14ac:dyDescent="0.25">
      <c r="A2246" s="3">
        <v>2241</v>
      </c>
      <c r="B2246" s="3" t="str">
        <f>"00660727"</f>
        <v>00660727</v>
      </c>
    </row>
    <row r="2247" spans="1:2" x14ac:dyDescent="0.25">
      <c r="A2247" s="3">
        <v>2242</v>
      </c>
      <c r="B2247" s="3" t="str">
        <f>"00660756"</f>
        <v>00660756</v>
      </c>
    </row>
    <row r="2248" spans="1:2" x14ac:dyDescent="0.25">
      <c r="A2248" s="3">
        <v>2243</v>
      </c>
      <c r="B2248" s="3" t="str">
        <f>"00660803"</f>
        <v>00660803</v>
      </c>
    </row>
    <row r="2249" spans="1:2" x14ac:dyDescent="0.25">
      <c r="A2249" s="3">
        <v>2244</v>
      </c>
      <c r="B2249" s="3" t="str">
        <f>"00661220"</f>
        <v>00661220</v>
      </c>
    </row>
    <row r="2250" spans="1:2" x14ac:dyDescent="0.25">
      <c r="A2250" s="3">
        <v>2245</v>
      </c>
      <c r="B2250" s="3" t="str">
        <f>"00661598"</f>
        <v>00661598</v>
      </c>
    </row>
    <row r="2251" spans="1:2" x14ac:dyDescent="0.25">
      <c r="A2251" s="3">
        <v>2246</v>
      </c>
      <c r="B2251" s="3" t="str">
        <f>"00661620"</f>
        <v>00661620</v>
      </c>
    </row>
    <row r="2252" spans="1:2" x14ac:dyDescent="0.25">
      <c r="A2252" s="3">
        <v>2247</v>
      </c>
      <c r="B2252" s="3" t="str">
        <f>"00661822"</f>
        <v>00661822</v>
      </c>
    </row>
    <row r="2253" spans="1:2" x14ac:dyDescent="0.25">
      <c r="A2253" s="3">
        <v>2248</v>
      </c>
      <c r="B2253" s="3" t="str">
        <f>"00661850"</f>
        <v>00661850</v>
      </c>
    </row>
    <row r="2254" spans="1:2" x14ac:dyDescent="0.25">
      <c r="A2254" s="3">
        <v>2249</v>
      </c>
      <c r="B2254" s="3" t="str">
        <f>"00662028"</f>
        <v>00662028</v>
      </c>
    </row>
    <row r="2255" spans="1:2" x14ac:dyDescent="0.25">
      <c r="A2255" s="3">
        <v>2250</v>
      </c>
      <c r="B2255" s="3" t="str">
        <f>"00662145"</f>
        <v>00662145</v>
      </c>
    </row>
    <row r="2256" spans="1:2" x14ac:dyDescent="0.25">
      <c r="A2256" s="3">
        <v>2251</v>
      </c>
      <c r="B2256" s="3" t="str">
        <f>"00662297"</f>
        <v>00662297</v>
      </c>
    </row>
    <row r="2257" spans="1:2" x14ac:dyDescent="0.25">
      <c r="A2257" s="3">
        <v>2252</v>
      </c>
      <c r="B2257" s="3" t="str">
        <f>"00662360"</f>
        <v>00662360</v>
      </c>
    </row>
    <row r="2258" spans="1:2" x14ac:dyDescent="0.25">
      <c r="A2258" s="3">
        <v>2253</v>
      </c>
      <c r="B2258" s="3" t="str">
        <f>"00662397"</f>
        <v>00662397</v>
      </c>
    </row>
    <row r="2259" spans="1:2" x14ac:dyDescent="0.25">
      <c r="A2259" s="3">
        <v>2254</v>
      </c>
      <c r="B2259" s="3" t="str">
        <f>"00662430"</f>
        <v>00662430</v>
      </c>
    </row>
    <row r="2260" spans="1:2" x14ac:dyDescent="0.25">
      <c r="A2260" s="3">
        <v>2255</v>
      </c>
      <c r="B2260" s="3" t="str">
        <f>"00662446"</f>
        <v>00662446</v>
      </c>
    </row>
    <row r="2261" spans="1:2" x14ac:dyDescent="0.25">
      <c r="A2261" s="3">
        <v>2256</v>
      </c>
      <c r="B2261" s="3" t="str">
        <f>"00662505"</f>
        <v>00662505</v>
      </c>
    </row>
    <row r="2262" spans="1:2" x14ac:dyDescent="0.25">
      <c r="A2262" s="3">
        <v>2257</v>
      </c>
      <c r="B2262" s="3" t="str">
        <f>"00662522"</f>
        <v>00662522</v>
      </c>
    </row>
    <row r="2263" spans="1:2" x14ac:dyDescent="0.25">
      <c r="A2263" s="3">
        <v>2258</v>
      </c>
      <c r="B2263" s="3" t="str">
        <f>"00662530"</f>
        <v>00662530</v>
      </c>
    </row>
    <row r="2264" spans="1:2" x14ac:dyDescent="0.25">
      <c r="A2264" s="3">
        <v>2259</v>
      </c>
      <c r="B2264" s="3" t="str">
        <f>"00662566"</f>
        <v>00662566</v>
      </c>
    </row>
    <row r="2265" spans="1:2" x14ac:dyDescent="0.25">
      <c r="A2265" s="3">
        <v>2260</v>
      </c>
      <c r="B2265" s="3" t="str">
        <f>"00662596"</f>
        <v>00662596</v>
      </c>
    </row>
    <row r="2266" spans="1:2" x14ac:dyDescent="0.25">
      <c r="A2266" s="3">
        <v>2261</v>
      </c>
      <c r="B2266" s="3" t="str">
        <f>"00662602"</f>
        <v>00662602</v>
      </c>
    </row>
    <row r="2267" spans="1:2" x14ac:dyDescent="0.25">
      <c r="A2267" s="3">
        <v>2262</v>
      </c>
      <c r="B2267" s="3" t="str">
        <f>"00662734"</f>
        <v>00662734</v>
      </c>
    </row>
    <row r="2268" spans="1:2" x14ac:dyDescent="0.25">
      <c r="A2268" s="3">
        <v>2263</v>
      </c>
      <c r="B2268" s="3" t="str">
        <f>"00662739"</f>
        <v>00662739</v>
      </c>
    </row>
    <row r="2269" spans="1:2" x14ac:dyDescent="0.25">
      <c r="A2269" s="3">
        <v>2264</v>
      </c>
      <c r="B2269" s="3" t="str">
        <f>"00662987"</f>
        <v>00662987</v>
      </c>
    </row>
    <row r="2270" spans="1:2" x14ac:dyDescent="0.25">
      <c r="A2270" s="3">
        <v>2265</v>
      </c>
      <c r="B2270" s="3" t="str">
        <f>"00663044"</f>
        <v>00663044</v>
      </c>
    </row>
    <row r="2271" spans="1:2" x14ac:dyDescent="0.25">
      <c r="A2271" s="3">
        <v>2266</v>
      </c>
      <c r="B2271" s="3" t="str">
        <f>"00663051"</f>
        <v>00663051</v>
      </c>
    </row>
    <row r="2272" spans="1:2" x14ac:dyDescent="0.25">
      <c r="A2272" s="3">
        <v>2267</v>
      </c>
      <c r="B2272" s="3" t="str">
        <f>"00663243"</f>
        <v>00663243</v>
      </c>
    </row>
    <row r="2273" spans="1:2" x14ac:dyDescent="0.25">
      <c r="A2273" s="3">
        <v>2268</v>
      </c>
      <c r="B2273" s="3" t="str">
        <f>"00663290"</f>
        <v>00663290</v>
      </c>
    </row>
    <row r="2274" spans="1:2" x14ac:dyDescent="0.25">
      <c r="A2274" s="3">
        <v>2269</v>
      </c>
      <c r="B2274" s="3" t="str">
        <f>"00663302"</f>
        <v>00663302</v>
      </c>
    </row>
    <row r="2275" spans="1:2" x14ac:dyDescent="0.25">
      <c r="A2275" s="3">
        <v>2270</v>
      </c>
      <c r="B2275" s="3" t="str">
        <f>"00663316"</f>
        <v>00663316</v>
      </c>
    </row>
    <row r="2276" spans="1:2" x14ac:dyDescent="0.25">
      <c r="A2276" s="3">
        <v>2271</v>
      </c>
      <c r="B2276" s="3" t="str">
        <f>"00663356"</f>
        <v>00663356</v>
      </c>
    </row>
    <row r="2277" spans="1:2" x14ac:dyDescent="0.25">
      <c r="A2277" s="3">
        <v>2272</v>
      </c>
      <c r="B2277" s="3" t="str">
        <f>"00663400"</f>
        <v>00663400</v>
      </c>
    </row>
    <row r="2278" spans="1:2" x14ac:dyDescent="0.25">
      <c r="A2278" s="3">
        <v>2273</v>
      </c>
      <c r="B2278" s="3" t="str">
        <f>"00663406"</f>
        <v>00663406</v>
      </c>
    </row>
    <row r="2279" spans="1:2" x14ac:dyDescent="0.25">
      <c r="A2279" s="3">
        <v>2274</v>
      </c>
      <c r="B2279" s="3" t="str">
        <f>"00663477"</f>
        <v>00663477</v>
      </c>
    </row>
    <row r="2280" spans="1:2" x14ac:dyDescent="0.25">
      <c r="A2280" s="3">
        <v>2275</v>
      </c>
      <c r="B2280" s="3" t="str">
        <f>"00663524"</f>
        <v>00663524</v>
      </c>
    </row>
    <row r="2281" spans="1:2" x14ac:dyDescent="0.25">
      <c r="A2281" s="3">
        <v>2276</v>
      </c>
      <c r="B2281" s="3" t="str">
        <f>"00663539"</f>
        <v>00663539</v>
      </c>
    </row>
    <row r="2282" spans="1:2" x14ac:dyDescent="0.25">
      <c r="A2282" s="3">
        <v>2277</v>
      </c>
      <c r="B2282" s="3" t="str">
        <f>"00663574"</f>
        <v>00663574</v>
      </c>
    </row>
    <row r="2283" spans="1:2" x14ac:dyDescent="0.25">
      <c r="A2283" s="3">
        <v>2278</v>
      </c>
      <c r="B2283" s="3" t="str">
        <f>"00663597"</f>
        <v>00663597</v>
      </c>
    </row>
    <row r="2284" spans="1:2" x14ac:dyDescent="0.25">
      <c r="A2284" s="3">
        <v>2279</v>
      </c>
      <c r="B2284" s="3" t="str">
        <f>"00663625"</f>
        <v>00663625</v>
      </c>
    </row>
    <row r="2285" spans="1:2" x14ac:dyDescent="0.25">
      <c r="A2285" s="3">
        <v>2280</v>
      </c>
      <c r="B2285" s="3" t="str">
        <f>"00663659"</f>
        <v>00663659</v>
      </c>
    </row>
    <row r="2286" spans="1:2" x14ac:dyDescent="0.25">
      <c r="A2286" s="3">
        <v>2281</v>
      </c>
      <c r="B2286" s="3" t="str">
        <f>"00663662"</f>
        <v>00663662</v>
      </c>
    </row>
    <row r="2287" spans="1:2" x14ac:dyDescent="0.25">
      <c r="A2287" s="3">
        <v>2282</v>
      </c>
      <c r="B2287" s="3" t="str">
        <f>"00663674"</f>
        <v>00663674</v>
      </c>
    </row>
    <row r="2288" spans="1:2" x14ac:dyDescent="0.25">
      <c r="A2288" s="3">
        <v>2283</v>
      </c>
      <c r="B2288" s="3" t="str">
        <f>"00663683"</f>
        <v>00663683</v>
      </c>
    </row>
    <row r="2289" spans="1:2" x14ac:dyDescent="0.25">
      <c r="A2289" s="3">
        <v>2284</v>
      </c>
      <c r="B2289" s="3" t="str">
        <f>"00663690"</f>
        <v>00663690</v>
      </c>
    </row>
    <row r="2290" spans="1:2" x14ac:dyDescent="0.25">
      <c r="A2290" s="3">
        <v>2285</v>
      </c>
      <c r="B2290" s="3" t="str">
        <f>"00663717"</f>
        <v>00663717</v>
      </c>
    </row>
    <row r="2291" spans="1:2" x14ac:dyDescent="0.25">
      <c r="A2291" s="3">
        <v>2286</v>
      </c>
      <c r="B2291" s="3" t="str">
        <f>"00663781"</f>
        <v>00663781</v>
      </c>
    </row>
    <row r="2292" spans="1:2" x14ac:dyDescent="0.25">
      <c r="A2292" s="3">
        <v>2287</v>
      </c>
      <c r="B2292" s="3" t="str">
        <f>"00663806"</f>
        <v>00663806</v>
      </c>
    </row>
    <row r="2293" spans="1:2" x14ac:dyDescent="0.25">
      <c r="A2293" s="3">
        <v>2288</v>
      </c>
      <c r="B2293" s="3" t="str">
        <f>"00663841"</f>
        <v>00663841</v>
      </c>
    </row>
    <row r="2294" spans="1:2" x14ac:dyDescent="0.25">
      <c r="A2294" s="3">
        <v>2289</v>
      </c>
      <c r="B2294" s="3" t="str">
        <f>"00664038"</f>
        <v>00664038</v>
      </c>
    </row>
    <row r="2295" spans="1:2" x14ac:dyDescent="0.25">
      <c r="A2295" s="3">
        <v>2290</v>
      </c>
      <c r="B2295" s="3" t="str">
        <f>"00664041"</f>
        <v>00664041</v>
      </c>
    </row>
    <row r="2296" spans="1:2" x14ac:dyDescent="0.25">
      <c r="A2296" s="3">
        <v>2291</v>
      </c>
      <c r="B2296" s="3" t="str">
        <f>"00664164"</f>
        <v>00664164</v>
      </c>
    </row>
    <row r="2297" spans="1:2" x14ac:dyDescent="0.25">
      <c r="A2297" s="3">
        <v>2292</v>
      </c>
      <c r="B2297" s="3" t="str">
        <f>"00664172"</f>
        <v>00664172</v>
      </c>
    </row>
    <row r="2298" spans="1:2" x14ac:dyDescent="0.25">
      <c r="A2298" s="3">
        <v>2293</v>
      </c>
      <c r="B2298" s="3" t="str">
        <f>"00664177"</f>
        <v>00664177</v>
      </c>
    </row>
    <row r="2299" spans="1:2" x14ac:dyDescent="0.25">
      <c r="A2299" s="3">
        <v>2294</v>
      </c>
      <c r="B2299" s="3" t="str">
        <f>"00664221"</f>
        <v>00664221</v>
      </c>
    </row>
    <row r="2300" spans="1:2" x14ac:dyDescent="0.25">
      <c r="A2300" s="3">
        <v>2295</v>
      </c>
      <c r="B2300" s="3" t="str">
        <f>"00664227"</f>
        <v>00664227</v>
      </c>
    </row>
    <row r="2301" spans="1:2" x14ac:dyDescent="0.25">
      <c r="A2301" s="3">
        <v>2296</v>
      </c>
      <c r="B2301" s="3" t="str">
        <f>"00664240"</f>
        <v>00664240</v>
      </c>
    </row>
    <row r="2302" spans="1:2" x14ac:dyDescent="0.25">
      <c r="A2302" s="3">
        <v>2297</v>
      </c>
      <c r="B2302" s="3" t="str">
        <f>"00664241"</f>
        <v>00664241</v>
      </c>
    </row>
    <row r="2303" spans="1:2" x14ac:dyDescent="0.25">
      <c r="A2303" s="3">
        <v>2298</v>
      </c>
      <c r="B2303" s="3" t="str">
        <f>"00664265"</f>
        <v>00664265</v>
      </c>
    </row>
    <row r="2304" spans="1:2" x14ac:dyDescent="0.25">
      <c r="A2304" s="3">
        <v>2299</v>
      </c>
      <c r="B2304" s="3" t="str">
        <f>"00664288"</f>
        <v>00664288</v>
      </c>
    </row>
    <row r="2305" spans="1:2" x14ac:dyDescent="0.25">
      <c r="A2305" s="3">
        <v>2300</v>
      </c>
      <c r="B2305" s="3" t="str">
        <f>"00664326"</f>
        <v>00664326</v>
      </c>
    </row>
    <row r="2306" spans="1:2" x14ac:dyDescent="0.25">
      <c r="A2306" s="3">
        <v>2301</v>
      </c>
      <c r="B2306" s="3" t="str">
        <f>"00664368"</f>
        <v>00664368</v>
      </c>
    </row>
    <row r="2307" spans="1:2" x14ac:dyDescent="0.25">
      <c r="A2307" s="3">
        <v>2302</v>
      </c>
      <c r="B2307" s="3" t="str">
        <f>"00664406"</f>
        <v>00664406</v>
      </c>
    </row>
    <row r="2308" spans="1:2" x14ac:dyDescent="0.25">
      <c r="A2308" s="3">
        <v>2303</v>
      </c>
      <c r="B2308" s="3" t="str">
        <f>"00664422"</f>
        <v>00664422</v>
      </c>
    </row>
    <row r="2309" spans="1:2" x14ac:dyDescent="0.25">
      <c r="A2309" s="3">
        <v>2304</v>
      </c>
      <c r="B2309" s="3" t="str">
        <f>"00664477"</f>
        <v>00664477</v>
      </c>
    </row>
    <row r="2310" spans="1:2" x14ac:dyDescent="0.25">
      <c r="A2310" s="3">
        <v>2305</v>
      </c>
      <c r="B2310" s="3" t="str">
        <f>"00664499"</f>
        <v>00664499</v>
      </c>
    </row>
    <row r="2311" spans="1:2" x14ac:dyDescent="0.25">
      <c r="A2311" s="3">
        <v>2306</v>
      </c>
      <c r="B2311" s="3" t="str">
        <f>"00664501"</f>
        <v>00664501</v>
      </c>
    </row>
    <row r="2312" spans="1:2" x14ac:dyDescent="0.25">
      <c r="A2312" s="3">
        <v>2307</v>
      </c>
      <c r="B2312" s="3" t="str">
        <f>"00664520"</f>
        <v>00664520</v>
      </c>
    </row>
    <row r="2313" spans="1:2" x14ac:dyDescent="0.25">
      <c r="A2313" s="3">
        <v>2308</v>
      </c>
      <c r="B2313" s="3" t="str">
        <f>"00664578"</f>
        <v>00664578</v>
      </c>
    </row>
    <row r="2314" spans="1:2" x14ac:dyDescent="0.25">
      <c r="A2314" s="3">
        <v>2309</v>
      </c>
      <c r="B2314" s="3" t="str">
        <f>"00664597"</f>
        <v>00664597</v>
      </c>
    </row>
    <row r="2315" spans="1:2" x14ac:dyDescent="0.25">
      <c r="A2315" s="3">
        <v>2310</v>
      </c>
      <c r="B2315" s="3" t="str">
        <f>"00664599"</f>
        <v>00664599</v>
      </c>
    </row>
    <row r="2316" spans="1:2" x14ac:dyDescent="0.25">
      <c r="A2316" s="3">
        <v>2311</v>
      </c>
      <c r="B2316" s="3" t="str">
        <f>"00664659"</f>
        <v>00664659</v>
      </c>
    </row>
    <row r="2317" spans="1:2" x14ac:dyDescent="0.25">
      <c r="A2317" s="3">
        <v>2312</v>
      </c>
      <c r="B2317" s="3" t="str">
        <f>"00664670"</f>
        <v>00664670</v>
      </c>
    </row>
    <row r="2318" spans="1:2" x14ac:dyDescent="0.25">
      <c r="A2318" s="3">
        <v>2313</v>
      </c>
      <c r="B2318" s="3" t="str">
        <f>"00664716"</f>
        <v>00664716</v>
      </c>
    </row>
    <row r="2319" spans="1:2" x14ac:dyDescent="0.25">
      <c r="A2319" s="3">
        <v>2314</v>
      </c>
      <c r="B2319" s="3" t="str">
        <f>"00664729"</f>
        <v>00664729</v>
      </c>
    </row>
    <row r="2320" spans="1:2" x14ac:dyDescent="0.25">
      <c r="A2320" s="3">
        <v>2315</v>
      </c>
      <c r="B2320" s="3" t="str">
        <f>"00664742"</f>
        <v>00664742</v>
      </c>
    </row>
    <row r="2321" spans="1:2" x14ac:dyDescent="0.25">
      <c r="A2321" s="3">
        <v>2316</v>
      </c>
      <c r="B2321" s="3" t="str">
        <f>"00664836"</f>
        <v>00664836</v>
      </c>
    </row>
    <row r="2322" spans="1:2" x14ac:dyDescent="0.25">
      <c r="A2322" s="3">
        <v>2317</v>
      </c>
      <c r="B2322" s="3" t="str">
        <f>"00664894"</f>
        <v>00664894</v>
      </c>
    </row>
    <row r="2323" spans="1:2" x14ac:dyDescent="0.25">
      <c r="A2323" s="3">
        <v>2318</v>
      </c>
      <c r="B2323" s="3" t="str">
        <f>"00664935"</f>
        <v>00664935</v>
      </c>
    </row>
    <row r="2324" spans="1:2" x14ac:dyDescent="0.25">
      <c r="A2324" s="3">
        <v>2319</v>
      </c>
      <c r="B2324" s="3" t="str">
        <f>"00664971"</f>
        <v>00664971</v>
      </c>
    </row>
    <row r="2325" spans="1:2" x14ac:dyDescent="0.25">
      <c r="A2325" s="3">
        <v>2320</v>
      </c>
      <c r="B2325" s="3" t="str">
        <f>"00665062"</f>
        <v>00665062</v>
      </c>
    </row>
    <row r="2326" spans="1:2" x14ac:dyDescent="0.25">
      <c r="A2326" s="3">
        <v>2321</v>
      </c>
      <c r="B2326" s="3" t="str">
        <f>"00665090"</f>
        <v>00665090</v>
      </c>
    </row>
    <row r="2327" spans="1:2" x14ac:dyDescent="0.25">
      <c r="A2327" s="3">
        <v>2322</v>
      </c>
      <c r="B2327" s="3" t="str">
        <f>"00665132"</f>
        <v>00665132</v>
      </c>
    </row>
    <row r="2328" spans="1:2" x14ac:dyDescent="0.25">
      <c r="A2328" s="3">
        <v>2323</v>
      </c>
      <c r="B2328" s="3" t="str">
        <f>"00665206"</f>
        <v>00665206</v>
      </c>
    </row>
    <row r="2329" spans="1:2" x14ac:dyDescent="0.25">
      <c r="A2329" s="3">
        <v>2324</v>
      </c>
      <c r="B2329" s="3" t="str">
        <f>"00665208"</f>
        <v>00665208</v>
      </c>
    </row>
    <row r="2330" spans="1:2" x14ac:dyDescent="0.25">
      <c r="A2330" s="3">
        <v>2325</v>
      </c>
      <c r="B2330" s="3" t="str">
        <f>"00665228"</f>
        <v>00665228</v>
      </c>
    </row>
    <row r="2331" spans="1:2" x14ac:dyDescent="0.25">
      <c r="A2331" s="3">
        <v>2326</v>
      </c>
      <c r="B2331" s="3" t="str">
        <f>"00665235"</f>
        <v>00665235</v>
      </c>
    </row>
    <row r="2332" spans="1:2" x14ac:dyDescent="0.25">
      <c r="A2332" s="3">
        <v>2327</v>
      </c>
      <c r="B2332" s="3" t="str">
        <f>"00665239"</f>
        <v>00665239</v>
      </c>
    </row>
    <row r="2333" spans="1:2" x14ac:dyDescent="0.25">
      <c r="A2333" s="3">
        <v>2328</v>
      </c>
      <c r="B2333" s="3" t="str">
        <f>"00665274"</f>
        <v>00665274</v>
      </c>
    </row>
    <row r="2334" spans="1:2" x14ac:dyDescent="0.25">
      <c r="A2334" s="3">
        <v>2329</v>
      </c>
      <c r="B2334" s="3" t="str">
        <f>"00665301"</f>
        <v>00665301</v>
      </c>
    </row>
    <row r="2335" spans="1:2" x14ac:dyDescent="0.25">
      <c r="A2335" s="3">
        <v>2330</v>
      </c>
      <c r="B2335" s="3" t="str">
        <f>"00665404"</f>
        <v>00665404</v>
      </c>
    </row>
    <row r="2336" spans="1:2" x14ac:dyDescent="0.25">
      <c r="A2336" s="3">
        <v>2331</v>
      </c>
      <c r="B2336" s="3" t="str">
        <f>"00665410"</f>
        <v>00665410</v>
      </c>
    </row>
    <row r="2337" spans="1:2" x14ac:dyDescent="0.25">
      <c r="A2337" s="3">
        <v>2332</v>
      </c>
      <c r="B2337" s="3" t="str">
        <f>"00665432"</f>
        <v>00665432</v>
      </c>
    </row>
    <row r="2338" spans="1:2" x14ac:dyDescent="0.25">
      <c r="A2338" s="3">
        <v>2333</v>
      </c>
      <c r="B2338" s="3" t="str">
        <f>"00665496"</f>
        <v>00665496</v>
      </c>
    </row>
    <row r="2339" spans="1:2" x14ac:dyDescent="0.25">
      <c r="A2339" s="3">
        <v>2334</v>
      </c>
      <c r="B2339" s="3" t="str">
        <f>"00665532"</f>
        <v>00665532</v>
      </c>
    </row>
    <row r="2340" spans="1:2" x14ac:dyDescent="0.25">
      <c r="A2340" s="3">
        <v>2335</v>
      </c>
      <c r="B2340" s="3" t="str">
        <f>"00665578"</f>
        <v>00665578</v>
      </c>
    </row>
    <row r="2341" spans="1:2" x14ac:dyDescent="0.25">
      <c r="A2341" s="3">
        <v>2336</v>
      </c>
      <c r="B2341" s="3" t="str">
        <f>"00665586"</f>
        <v>00665586</v>
      </c>
    </row>
    <row r="2342" spans="1:2" x14ac:dyDescent="0.25">
      <c r="A2342" s="3">
        <v>2337</v>
      </c>
      <c r="B2342" s="3" t="str">
        <f>"00665603"</f>
        <v>00665603</v>
      </c>
    </row>
    <row r="2343" spans="1:2" x14ac:dyDescent="0.25">
      <c r="A2343" s="3">
        <v>2338</v>
      </c>
      <c r="B2343" s="3" t="str">
        <f>"00665630"</f>
        <v>00665630</v>
      </c>
    </row>
    <row r="2344" spans="1:2" x14ac:dyDescent="0.25">
      <c r="A2344" s="3">
        <v>2339</v>
      </c>
      <c r="B2344" s="3" t="str">
        <f>"00665703"</f>
        <v>00665703</v>
      </c>
    </row>
    <row r="2345" spans="1:2" x14ac:dyDescent="0.25">
      <c r="A2345" s="3">
        <v>2340</v>
      </c>
      <c r="B2345" s="3" t="str">
        <f>"00665836"</f>
        <v>00665836</v>
      </c>
    </row>
    <row r="2346" spans="1:2" x14ac:dyDescent="0.25">
      <c r="A2346" s="3">
        <v>2341</v>
      </c>
      <c r="B2346" s="3" t="str">
        <f>"00665872"</f>
        <v>00665872</v>
      </c>
    </row>
    <row r="2347" spans="1:2" x14ac:dyDescent="0.25">
      <c r="A2347" s="3">
        <v>2342</v>
      </c>
      <c r="B2347" s="3" t="str">
        <f>"00665873"</f>
        <v>00665873</v>
      </c>
    </row>
    <row r="2348" spans="1:2" x14ac:dyDescent="0.25">
      <c r="A2348" s="3">
        <v>2343</v>
      </c>
      <c r="B2348" s="3" t="str">
        <f>"00665914"</f>
        <v>00665914</v>
      </c>
    </row>
    <row r="2349" spans="1:2" x14ac:dyDescent="0.25">
      <c r="A2349" s="3">
        <v>2344</v>
      </c>
      <c r="B2349" s="3" t="str">
        <f>"00665922"</f>
        <v>00665922</v>
      </c>
    </row>
    <row r="2350" spans="1:2" x14ac:dyDescent="0.25">
      <c r="A2350" s="3">
        <v>2345</v>
      </c>
      <c r="B2350" s="3" t="str">
        <f>"00665953"</f>
        <v>00665953</v>
      </c>
    </row>
    <row r="2351" spans="1:2" x14ac:dyDescent="0.25">
      <c r="A2351" s="3">
        <v>2346</v>
      </c>
      <c r="B2351" s="3" t="str">
        <f>"00666020"</f>
        <v>00666020</v>
      </c>
    </row>
    <row r="2352" spans="1:2" x14ac:dyDescent="0.25">
      <c r="A2352" s="3">
        <v>2347</v>
      </c>
      <c r="B2352" s="3" t="str">
        <f>"00666092"</f>
        <v>00666092</v>
      </c>
    </row>
    <row r="2353" spans="1:2" x14ac:dyDescent="0.25">
      <c r="A2353" s="3">
        <v>2348</v>
      </c>
      <c r="B2353" s="3" t="str">
        <f>"00666114"</f>
        <v>00666114</v>
      </c>
    </row>
    <row r="2354" spans="1:2" x14ac:dyDescent="0.25">
      <c r="A2354" s="3">
        <v>2349</v>
      </c>
      <c r="B2354" s="3" t="str">
        <f>"00666153"</f>
        <v>00666153</v>
      </c>
    </row>
    <row r="2355" spans="1:2" x14ac:dyDescent="0.25">
      <c r="A2355" s="3">
        <v>2350</v>
      </c>
      <c r="B2355" s="3" t="str">
        <f>"00666166"</f>
        <v>00666166</v>
      </c>
    </row>
    <row r="2356" spans="1:2" x14ac:dyDescent="0.25">
      <c r="A2356" s="3">
        <v>2351</v>
      </c>
      <c r="B2356" s="3" t="str">
        <f>"00666225"</f>
        <v>00666225</v>
      </c>
    </row>
    <row r="2357" spans="1:2" x14ac:dyDescent="0.25">
      <c r="A2357" s="3">
        <v>2352</v>
      </c>
      <c r="B2357" s="3" t="str">
        <f>"00666296"</f>
        <v>00666296</v>
      </c>
    </row>
    <row r="2358" spans="1:2" x14ac:dyDescent="0.25">
      <c r="A2358" s="3">
        <v>2353</v>
      </c>
      <c r="B2358" s="3" t="str">
        <f>"00666309"</f>
        <v>00666309</v>
      </c>
    </row>
    <row r="2359" spans="1:2" x14ac:dyDescent="0.25">
      <c r="A2359" s="3">
        <v>2354</v>
      </c>
      <c r="B2359" s="3" t="str">
        <f>"00666398"</f>
        <v>00666398</v>
      </c>
    </row>
    <row r="2360" spans="1:2" x14ac:dyDescent="0.25">
      <c r="A2360" s="3">
        <v>2355</v>
      </c>
      <c r="B2360" s="3" t="str">
        <f>"00666402"</f>
        <v>00666402</v>
      </c>
    </row>
    <row r="2361" spans="1:2" x14ac:dyDescent="0.25">
      <c r="A2361" s="3">
        <v>2356</v>
      </c>
      <c r="B2361" s="3" t="str">
        <f>"00666417"</f>
        <v>00666417</v>
      </c>
    </row>
    <row r="2362" spans="1:2" x14ac:dyDescent="0.25">
      <c r="A2362" s="3">
        <v>2357</v>
      </c>
      <c r="B2362" s="3" t="str">
        <f>"00666503"</f>
        <v>00666503</v>
      </c>
    </row>
    <row r="2363" spans="1:2" x14ac:dyDescent="0.25">
      <c r="A2363" s="3">
        <v>2358</v>
      </c>
      <c r="B2363" s="3" t="str">
        <f>"00666519"</f>
        <v>00666519</v>
      </c>
    </row>
    <row r="2364" spans="1:2" x14ac:dyDescent="0.25">
      <c r="A2364" s="3">
        <v>2359</v>
      </c>
      <c r="B2364" s="3" t="str">
        <f>"00666603"</f>
        <v>00666603</v>
      </c>
    </row>
    <row r="2365" spans="1:2" x14ac:dyDescent="0.25">
      <c r="A2365" s="3">
        <v>2360</v>
      </c>
      <c r="B2365" s="3" t="str">
        <f>"00666608"</f>
        <v>00666608</v>
      </c>
    </row>
    <row r="2366" spans="1:2" x14ac:dyDescent="0.25">
      <c r="A2366" s="3">
        <v>2361</v>
      </c>
      <c r="B2366" s="3" t="str">
        <f>"00666625"</f>
        <v>00666625</v>
      </c>
    </row>
    <row r="2367" spans="1:2" x14ac:dyDescent="0.25">
      <c r="A2367" s="3">
        <v>2362</v>
      </c>
      <c r="B2367" s="3" t="str">
        <f>"00666655"</f>
        <v>00666655</v>
      </c>
    </row>
    <row r="2368" spans="1:2" x14ac:dyDescent="0.25">
      <c r="A2368" s="3">
        <v>2363</v>
      </c>
      <c r="B2368" s="3" t="str">
        <f>"00666716"</f>
        <v>00666716</v>
      </c>
    </row>
    <row r="2369" spans="1:2" x14ac:dyDescent="0.25">
      <c r="A2369" s="3">
        <v>2364</v>
      </c>
      <c r="B2369" s="3" t="str">
        <f>"00666733"</f>
        <v>00666733</v>
      </c>
    </row>
    <row r="2370" spans="1:2" x14ac:dyDescent="0.25">
      <c r="A2370" s="3">
        <v>2365</v>
      </c>
      <c r="B2370" s="3" t="str">
        <f>"00666840"</f>
        <v>00666840</v>
      </c>
    </row>
    <row r="2371" spans="1:2" x14ac:dyDescent="0.25">
      <c r="A2371" s="3">
        <v>2366</v>
      </c>
      <c r="B2371" s="3" t="str">
        <f>"00666856"</f>
        <v>00666856</v>
      </c>
    </row>
    <row r="2372" spans="1:2" x14ac:dyDescent="0.25">
      <c r="A2372" s="3">
        <v>2367</v>
      </c>
      <c r="B2372" s="3" t="str">
        <f>"00666885"</f>
        <v>00666885</v>
      </c>
    </row>
    <row r="2373" spans="1:2" x14ac:dyDescent="0.25">
      <c r="A2373" s="3">
        <v>2368</v>
      </c>
      <c r="B2373" s="3" t="str">
        <f>"00666924"</f>
        <v>00666924</v>
      </c>
    </row>
    <row r="2374" spans="1:2" x14ac:dyDescent="0.25">
      <c r="A2374" s="3">
        <v>2369</v>
      </c>
      <c r="B2374" s="3" t="str">
        <f>"00666991"</f>
        <v>00666991</v>
      </c>
    </row>
    <row r="2375" spans="1:2" x14ac:dyDescent="0.25">
      <c r="A2375" s="3">
        <v>2370</v>
      </c>
      <c r="B2375" s="3" t="str">
        <f>"00667013"</f>
        <v>00667013</v>
      </c>
    </row>
    <row r="2376" spans="1:2" x14ac:dyDescent="0.25">
      <c r="A2376" s="3">
        <v>2371</v>
      </c>
      <c r="B2376" s="3" t="str">
        <f>"00667045"</f>
        <v>00667045</v>
      </c>
    </row>
    <row r="2377" spans="1:2" x14ac:dyDescent="0.25">
      <c r="A2377" s="3">
        <v>2372</v>
      </c>
      <c r="B2377" s="3" t="str">
        <f>"00667104"</f>
        <v>00667104</v>
      </c>
    </row>
    <row r="2378" spans="1:2" x14ac:dyDescent="0.25">
      <c r="A2378" s="3">
        <v>2373</v>
      </c>
      <c r="B2378" s="3" t="str">
        <f>"00667128"</f>
        <v>00667128</v>
      </c>
    </row>
    <row r="2379" spans="1:2" x14ac:dyDescent="0.25">
      <c r="A2379" s="3">
        <v>2374</v>
      </c>
      <c r="B2379" s="3" t="str">
        <f>"00667201"</f>
        <v>00667201</v>
      </c>
    </row>
    <row r="2380" spans="1:2" x14ac:dyDescent="0.25">
      <c r="A2380" s="3">
        <v>2375</v>
      </c>
      <c r="B2380" s="3" t="str">
        <f>"00667249"</f>
        <v>00667249</v>
      </c>
    </row>
    <row r="2381" spans="1:2" x14ac:dyDescent="0.25">
      <c r="A2381" s="3">
        <v>2376</v>
      </c>
      <c r="B2381" s="3" t="str">
        <f>"00667257"</f>
        <v>00667257</v>
      </c>
    </row>
    <row r="2382" spans="1:2" x14ac:dyDescent="0.25">
      <c r="A2382" s="3">
        <v>2377</v>
      </c>
      <c r="B2382" s="3" t="str">
        <f>"00667327"</f>
        <v>00667327</v>
      </c>
    </row>
    <row r="2383" spans="1:2" x14ac:dyDescent="0.25">
      <c r="A2383" s="3">
        <v>2378</v>
      </c>
      <c r="B2383" s="3" t="str">
        <f>"00667336"</f>
        <v>00667336</v>
      </c>
    </row>
    <row r="2384" spans="1:2" x14ac:dyDescent="0.25">
      <c r="A2384" s="3">
        <v>2379</v>
      </c>
      <c r="B2384" s="3" t="str">
        <f>"00667349"</f>
        <v>00667349</v>
      </c>
    </row>
    <row r="2385" spans="1:2" x14ac:dyDescent="0.25">
      <c r="A2385" s="3">
        <v>2380</v>
      </c>
      <c r="B2385" s="3" t="str">
        <f>"00667386"</f>
        <v>00667386</v>
      </c>
    </row>
    <row r="2386" spans="1:2" x14ac:dyDescent="0.25">
      <c r="A2386" s="3">
        <v>2381</v>
      </c>
      <c r="B2386" s="3" t="str">
        <f>"00667404"</f>
        <v>00667404</v>
      </c>
    </row>
    <row r="2387" spans="1:2" x14ac:dyDescent="0.25">
      <c r="A2387" s="3">
        <v>2382</v>
      </c>
      <c r="B2387" s="3" t="str">
        <f>"00667426"</f>
        <v>00667426</v>
      </c>
    </row>
    <row r="2388" spans="1:2" x14ac:dyDescent="0.25">
      <c r="A2388" s="3">
        <v>2383</v>
      </c>
      <c r="B2388" s="3" t="str">
        <f>"00667433"</f>
        <v>00667433</v>
      </c>
    </row>
    <row r="2389" spans="1:2" x14ac:dyDescent="0.25">
      <c r="A2389" s="3">
        <v>2384</v>
      </c>
      <c r="B2389" s="3" t="str">
        <f>"00667479"</f>
        <v>00667479</v>
      </c>
    </row>
    <row r="2390" spans="1:2" x14ac:dyDescent="0.25">
      <c r="A2390" s="3">
        <v>2385</v>
      </c>
      <c r="B2390" s="3" t="str">
        <f>"00667562"</f>
        <v>00667562</v>
      </c>
    </row>
    <row r="2391" spans="1:2" x14ac:dyDescent="0.25">
      <c r="A2391" s="3">
        <v>2386</v>
      </c>
      <c r="B2391" s="3" t="str">
        <f>"00667598"</f>
        <v>00667598</v>
      </c>
    </row>
    <row r="2392" spans="1:2" x14ac:dyDescent="0.25">
      <c r="A2392" s="3">
        <v>2387</v>
      </c>
      <c r="B2392" s="3" t="str">
        <f>"00667680"</f>
        <v>00667680</v>
      </c>
    </row>
    <row r="2393" spans="1:2" x14ac:dyDescent="0.25">
      <c r="A2393" s="3">
        <v>2388</v>
      </c>
      <c r="B2393" s="3" t="str">
        <f>"00667685"</f>
        <v>00667685</v>
      </c>
    </row>
    <row r="2394" spans="1:2" x14ac:dyDescent="0.25">
      <c r="A2394" s="3">
        <v>2389</v>
      </c>
      <c r="B2394" s="3" t="str">
        <f>"00667709"</f>
        <v>00667709</v>
      </c>
    </row>
    <row r="2395" spans="1:2" x14ac:dyDescent="0.25">
      <c r="A2395" s="3">
        <v>2390</v>
      </c>
      <c r="B2395" s="3" t="str">
        <f>"00667718"</f>
        <v>00667718</v>
      </c>
    </row>
    <row r="2396" spans="1:2" x14ac:dyDescent="0.25">
      <c r="A2396" s="3">
        <v>2391</v>
      </c>
      <c r="B2396" s="3" t="str">
        <f>"00667756"</f>
        <v>00667756</v>
      </c>
    </row>
    <row r="2397" spans="1:2" x14ac:dyDescent="0.25">
      <c r="A2397" s="3">
        <v>2392</v>
      </c>
      <c r="B2397" s="3" t="str">
        <f>"00667764"</f>
        <v>00667764</v>
      </c>
    </row>
    <row r="2398" spans="1:2" x14ac:dyDescent="0.25">
      <c r="A2398" s="3">
        <v>2393</v>
      </c>
      <c r="B2398" s="3" t="str">
        <f>"00667767"</f>
        <v>00667767</v>
      </c>
    </row>
    <row r="2399" spans="1:2" x14ac:dyDescent="0.25">
      <c r="A2399" s="3">
        <v>2394</v>
      </c>
      <c r="B2399" s="3" t="str">
        <f>"00667787"</f>
        <v>00667787</v>
      </c>
    </row>
    <row r="2400" spans="1:2" x14ac:dyDescent="0.25">
      <c r="A2400" s="3">
        <v>2395</v>
      </c>
      <c r="B2400" s="3" t="str">
        <f>"00667823"</f>
        <v>00667823</v>
      </c>
    </row>
    <row r="2401" spans="1:2" x14ac:dyDescent="0.25">
      <c r="A2401" s="3">
        <v>2396</v>
      </c>
      <c r="B2401" s="3" t="str">
        <f>"00667826"</f>
        <v>00667826</v>
      </c>
    </row>
    <row r="2402" spans="1:2" x14ac:dyDescent="0.25">
      <c r="A2402" s="3">
        <v>2397</v>
      </c>
      <c r="B2402" s="3" t="str">
        <f>"00667870"</f>
        <v>00667870</v>
      </c>
    </row>
    <row r="2403" spans="1:2" x14ac:dyDescent="0.25">
      <c r="A2403" s="3">
        <v>2398</v>
      </c>
      <c r="B2403" s="3" t="str">
        <f>"00667876"</f>
        <v>00667876</v>
      </c>
    </row>
    <row r="2404" spans="1:2" x14ac:dyDescent="0.25">
      <c r="A2404" s="3">
        <v>2399</v>
      </c>
      <c r="B2404" s="3" t="str">
        <f>"00667898"</f>
        <v>00667898</v>
      </c>
    </row>
    <row r="2405" spans="1:2" x14ac:dyDescent="0.25">
      <c r="A2405" s="3">
        <v>2400</v>
      </c>
      <c r="B2405" s="3" t="str">
        <f>"00667954"</f>
        <v>00667954</v>
      </c>
    </row>
    <row r="2406" spans="1:2" x14ac:dyDescent="0.25">
      <c r="A2406" s="3">
        <v>2401</v>
      </c>
      <c r="B2406" s="3" t="str">
        <f>"00667967"</f>
        <v>00667967</v>
      </c>
    </row>
    <row r="2407" spans="1:2" x14ac:dyDescent="0.25">
      <c r="A2407" s="3">
        <v>2402</v>
      </c>
      <c r="B2407" s="3" t="str">
        <f>"00668034"</f>
        <v>00668034</v>
      </c>
    </row>
    <row r="2408" spans="1:2" x14ac:dyDescent="0.25">
      <c r="A2408" s="3">
        <v>2403</v>
      </c>
      <c r="B2408" s="3" t="str">
        <f>"00668036"</f>
        <v>00668036</v>
      </c>
    </row>
    <row r="2409" spans="1:2" x14ac:dyDescent="0.25">
      <c r="A2409" s="3">
        <v>2404</v>
      </c>
      <c r="B2409" s="3" t="str">
        <f>"00668092"</f>
        <v>00668092</v>
      </c>
    </row>
    <row r="2410" spans="1:2" x14ac:dyDescent="0.25">
      <c r="A2410" s="3">
        <v>2405</v>
      </c>
      <c r="B2410" s="3" t="str">
        <f>"00668116"</f>
        <v>00668116</v>
      </c>
    </row>
    <row r="2411" spans="1:2" x14ac:dyDescent="0.25">
      <c r="A2411" s="3">
        <v>2406</v>
      </c>
      <c r="B2411" s="3" t="str">
        <f>"00668162"</f>
        <v>00668162</v>
      </c>
    </row>
    <row r="2412" spans="1:2" x14ac:dyDescent="0.25">
      <c r="A2412" s="3">
        <v>2407</v>
      </c>
      <c r="B2412" s="3" t="str">
        <f>"00668232"</f>
        <v>00668232</v>
      </c>
    </row>
    <row r="2413" spans="1:2" x14ac:dyDescent="0.25">
      <c r="A2413" s="3">
        <v>2408</v>
      </c>
      <c r="B2413" s="3" t="str">
        <f>"00668259"</f>
        <v>00668259</v>
      </c>
    </row>
    <row r="2414" spans="1:2" x14ac:dyDescent="0.25">
      <c r="A2414" s="3">
        <v>2409</v>
      </c>
      <c r="B2414" s="21" t="s">
        <v>18</v>
      </c>
    </row>
    <row r="2415" spans="1:2" x14ac:dyDescent="0.25">
      <c r="A2415" s="3">
        <v>2410</v>
      </c>
      <c r="B2415" s="3" t="str">
        <f>"00668403"</f>
        <v>00668403</v>
      </c>
    </row>
    <row r="2416" spans="1:2" x14ac:dyDescent="0.25">
      <c r="A2416" s="3">
        <v>2411</v>
      </c>
      <c r="B2416" s="3" t="str">
        <f>"00668444"</f>
        <v>00668444</v>
      </c>
    </row>
    <row r="2417" spans="1:2" x14ac:dyDescent="0.25">
      <c r="A2417" s="3">
        <v>2412</v>
      </c>
      <c r="B2417" s="3" t="str">
        <f>"00668618"</f>
        <v>00668618</v>
      </c>
    </row>
    <row r="2418" spans="1:2" x14ac:dyDescent="0.25">
      <c r="A2418" s="3">
        <v>2413</v>
      </c>
      <c r="B2418" s="3" t="str">
        <f>"00668629"</f>
        <v>00668629</v>
      </c>
    </row>
    <row r="2419" spans="1:2" x14ac:dyDescent="0.25">
      <c r="A2419" s="3">
        <v>2414</v>
      </c>
      <c r="B2419" s="3" t="str">
        <f>"00668676"</f>
        <v>00668676</v>
      </c>
    </row>
    <row r="2420" spans="1:2" x14ac:dyDescent="0.25">
      <c r="A2420" s="3">
        <v>2415</v>
      </c>
      <c r="B2420" s="3" t="str">
        <f>"00668792"</f>
        <v>00668792</v>
      </c>
    </row>
    <row r="2421" spans="1:2" x14ac:dyDescent="0.25">
      <c r="A2421" s="3">
        <v>2416</v>
      </c>
      <c r="B2421" s="3" t="str">
        <f>"00668818"</f>
        <v>00668818</v>
      </c>
    </row>
    <row r="2422" spans="1:2" x14ac:dyDescent="0.25">
      <c r="A2422" s="3">
        <v>2417</v>
      </c>
      <c r="B2422" s="3" t="str">
        <f>"00668831"</f>
        <v>00668831</v>
      </c>
    </row>
    <row r="2423" spans="1:2" x14ac:dyDescent="0.25">
      <c r="A2423" s="3">
        <v>2418</v>
      </c>
      <c r="B2423" s="3" t="str">
        <f>"00668849"</f>
        <v>00668849</v>
      </c>
    </row>
    <row r="2424" spans="1:2" x14ac:dyDescent="0.25">
      <c r="A2424" s="3">
        <v>2419</v>
      </c>
      <c r="B2424" s="3" t="str">
        <f>"00668872"</f>
        <v>00668872</v>
      </c>
    </row>
    <row r="2425" spans="1:2" x14ac:dyDescent="0.25">
      <c r="A2425" s="3">
        <v>2420</v>
      </c>
      <c r="B2425" s="3" t="str">
        <f>"00668899"</f>
        <v>00668899</v>
      </c>
    </row>
    <row r="2426" spans="1:2" x14ac:dyDescent="0.25">
      <c r="A2426" s="3">
        <v>2421</v>
      </c>
      <c r="B2426" s="3" t="str">
        <f>"00668919"</f>
        <v>00668919</v>
      </c>
    </row>
    <row r="2427" spans="1:2" x14ac:dyDescent="0.25">
      <c r="A2427" s="3">
        <v>2422</v>
      </c>
      <c r="B2427" s="3" t="str">
        <f>"00668945"</f>
        <v>00668945</v>
      </c>
    </row>
    <row r="2428" spans="1:2" x14ac:dyDescent="0.25">
      <c r="A2428" s="3">
        <v>2423</v>
      </c>
      <c r="B2428" s="3" t="str">
        <f>"00669038"</f>
        <v>00669038</v>
      </c>
    </row>
    <row r="2429" spans="1:2" x14ac:dyDescent="0.25">
      <c r="A2429" s="3">
        <v>2424</v>
      </c>
      <c r="B2429" s="3" t="str">
        <f>"00669102"</f>
        <v>00669102</v>
      </c>
    </row>
    <row r="2430" spans="1:2" x14ac:dyDescent="0.25">
      <c r="A2430" s="3">
        <v>2425</v>
      </c>
      <c r="B2430" s="3" t="str">
        <f>"00669258"</f>
        <v>00669258</v>
      </c>
    </row>
    <row r="2431" spans="1:2" x14ac:dyDescent="0.25">
      <c r="A2431" s="3">
        <v>2426</v>
      </c>
      <c r="B2431" s="3" t="str">
        <f>"00669268"</f>
        <v>00669268</v>
      </c>
    </row>
    <row r="2432" spans="1:2" x14ac:dyDescent="0.25">
      <c r="A2432" s="3">
        <v>2427</v>
      </c>
      <c r="B2432" s="3" t="str">
        <f>"00669286"</f>
        <v>00669286</v>
      </c>
    </row>
    <row r="2433" spans="1:2" x14ac:dyDescent="0.25">
      <c r="A2433" s="3">
        <v>2428</v>
      </c>
      <c r="B2433" s="3" t="str">
        <f>"00669323"</f>
        <v>00669323</v>
      </c>
    </row>
    <row r="2434" spans="1:2" x14ac:dyDescent="0.25">
      <c r="A2434" s="3">
        <v>2429</v>
      </c>
      <c r="B2434" s="3" t="str">
        <f>"00669328"</f>
        <v>00669328</v>
      </c>
    </row>
    <row r="2435" spans="1:2" x14ac:dyDescent="0.25">
      <c r="A2435" s="3">
        <v>2430</v>
      </c>
      <c r="B2435" s="3" t="str">
        <f>"00669333"</f>
        <v>00669333</v>
      </c>
    </row>
    <row r="2436" spans="1:2" x14ac:dyDescent="0.25">
      <c r="A2436" s="3">
        <v>2431</v>
      </c>
      <c r="B2436" s="3" t="str">
        <f>"00669422"</f>
        <v>00669422</v>
      </c>
    </row>
    <row r="2437" spans="1:2" x14ac:dyDescent="0.25">
      <c r="A2437" s="3">
        <v>2432</v>
      </c>
      <c r="B2437" s="3" t="str">
        <f>"00669472"</f>
        <v>00669472</v>
      </c>
    </row>
    <row r="2438" spans="1:2" x14ac:dyDescent="0.25">
      <c r="A2438" s="3">
        <v>2433</v>
      </c>
      <c r="B2438" s="3" t="str">
        <f>"00669476"</f>
        <v>00669476</v>
      </c>
    </row>
    <row r="2439" spans="1:2" x14ac:dyDescent="0.25">
      <c r="A2439" s="3">
        <v>2434</v>
      </c>
      <c r="B2439" s="3" t="str">
        <f>"00669502"</f>
        <v>00669502</v>
      </c>
    </row>
    <row r="2440" spans="1:2" x14ac:dyDescent="0.25">
      <c r="A2440" s="3">
        <v>2435</v>
      </c>
      <c r="B2440" s="3" t="str">
        <f>"00669567"</f>
        <v>00669567</v>
      </c>
    </row>
    <row r="2441" spans="1:2" x14ac:dyDescent="0.25">
      <c r="A2441" s="3">
        <v>2436</v>
      </c>
      <c r="B2441" s="3" t="str">
        <f>"00669629"</f>
        <v>00669629</v>
      </c>
    </row>
    <row r="2442" spans="1:2" x14ac:dyDescent="0.25">
      <c r="A2442" s="3">
        <v>2437</v>
      </c>
      <c r="B2442" s="3" t="str">
        <f>"00669711"</f>
        <v>00669711</v>
      </c>
    </row>
    <row r="2443" spans="1:2" x14ac:dyDescent="0.25">
      <c r="A2443" s="3">
        <v>2438</v>
      </c>
      <c r="B2443" s="3" t="str">
        <f>"00669718"</f>
        <v>00669718</v>
      </c>
    </row>
    <row r="2444" spans="1:2" x14ac:dyDescent="0.25">
      <c r="A2444" s="3">
        <v>2439</v>
      </c>
      <c r="B2444" s="3" t="str">
        <f>"00669822"</f>
        <v>00669822</v>
      </c>
    </row>
    <row r="2445" spans="1:2" x14ac:dyDescent="0.25">
      <c r="A2445" s="3">
        <v>2440</v>
      </c>
      <c r="B2445" s="3" t="str">
        <f>"00669922"</f>
        <v>00669922</v>
      </c>
    </row>
    <row r="2446" spans="1:2" x14ac:dyDescent="0.25">
      <c r="A2446" s="3">
        <v>2441</v>
      </c>
      <c r="B2446" s="3" t="str">
        <f>"00669969"</f>
        <v>00669969</v>
      </c>
    </row>
    <row r="2447" spans="1:2" x14ac:dyDescent="0.25">
      <c r="A2447" s="3">
        <v>2442</v>
      </c>
      <c r="B2447" s="3" t="str">
        <f>"00670126"</f>
        <v>00670126</v>
      </c>
    </row>
    <row r="2448" spans="1:2" x14ac:dyDescent="0.25">
      <c r="A2448" s="3">
        <v>2443</v>
      </c>
      <c r="B2448" s="3" t="str">
        <f>"00670174"</f>
        <v>00670174</v>
      </c>
    </row>
    <row r="2449" spans="1:2" x14ac:dyDescent="0.25">
      <c r="A2449" s="3">
        <v>2444</v>
      </c>
      <c r="B2449" s="3" t="str">
        <f>"00670293"</f>
        <v>00670293</v>
      </c>
    </row>
    <row r="2450" spans="1:2" x14ac:dyDescent="0.25">
      <c r="A2450" s="3">
        <v>2445</v>
      </c>
      <c r="B2450" s="3" t="str">
        <f>"00670346"</f>
        <v>00670346</v>
      </c>
    </row>
    <row r="2451" spans="1:2" x14ac:dyDescent="0.25">
      <c r="A2451" s="3">
        <v>2446</v>
      </c>
      <c r="B2451" s="3" t="str">
        <f>"00670347"</f>
        <v>00670347</v>
      </c>
    </row>
    <row r="2452" spans="1:2" x14ac:dyDescent="0.25">
      <c r="A2452" s="3">
        <v>2447</v>
      </c>
      <c r="B2452" s="3" t="str">
        <f>"00670362"</f>
        <v>00670362</v>
      </c>
    </row>
    <row r="2453" spans="1:2" x14ac:dyDescent="0.25">
      <c r="A2453" s="3">
        <v>2448</v>
      </c>
      <c r="B2453" s="3" t="str">
        <f>"00670381"</f>
        <v>00670381</v>
      </c>
    </row>
    <row r="2454" spans="1:2" x14ac:dyDescent="0.25">
      <c r="A2454" s="3">
        <v>2449</v>
      </c>
      <c r="B2454" s="3" t="str">
        <f>"00670426"</f>
        <v>00670426</v>
      </c>
    </row>
    <row r="2455" spans="1:2" x14ac:dyDescent="0.25">
      <c r="A2455" s="3">
        <v>2450</v>
      </c>
      <c r="B2455" s="3" t="str">
        <f>"00670492"</f>
        <v>00670492</v>
      </c>
    </row>
    <row r="2456" spans="1:2" x14ac:dyDescent="0.25">
      <c r="A2456" s="3">
        <v>2451</v>
      </c>
      <c r="B2456" s="3" t="str">
        <f>"00670778"</f>
        <v>00670778</v>
      </c>
    </row>
    <row r="2457" spans="1:2" x14ac:dyDescent="0.25">
      <c r="A2457" s="3">
        <v>2452</v>
      </c>
      <c r="B2457" s="3" t="str">
        <f>"00670795"</f>
        <v>00670795</v>
      </c>
    </row>
    <row r="2458" spans="1:2" x14ac:dyDescent="0.25">
      <c r="A2458" s="3">
        <v>2453</v>
      </c>
      <c r="B2458" s="3" t="str">
        <f>"00670825"</f>
        <v>00670825</v>
      </c>
    </row>
    <row r="2459" spans="1:2" x14ac:dyDescent="0.25">
      <c r="A2459" s="3">
        <v>2454</v>
      </c>
      <c r="B2459" s="3" t="str">
        <f>"00670843"</f>
        <v>00670843</v>
      </c>
    </row>
    <row r="2460" spans="1:2" x14ac:dyDescent="0.25">
      <c r="A2460" s="3">
        <v>2455</v>
      </c>
      <c r="B2460" s="3" t="str">
        <f>"00670979"</f>
        <v>00670979</v>
      </c>
    </row>
    <row r="2461" spans="1:2" x14ac:dyDescent="0.25">
      <c r="A2461" s="3">
        <v>2456</v>
      </c>
      <c r="B2461" s="3" t="str">
        <f>"00671008"</f>
        <v>00671008</v>
      </c>
    </row>
    <row r="2462" spans="1:2" x14ac:dyDescent="0.25">
      <c r="A2462" s="3">
        <v>2457</v>
      </c>
      <c r="B2462" s="3" t="str">
        <f>"00671036"</f>
        <v>00671036</v>
      </c>
    </row>
    <row r="2463" spans="1:2" x14ac:dyDescent="0.25">
      <c r="A2463" s="3">
        <v>2458</v>
      </c>
      <c r="B2463" s="3" t="str">
        <f>"00671049"</f>
        <v>00671049</v>
      </c>
    </row>
    <row r="2464" spans="1:2" x14ac:dyDescent="0.25">
      <c r="A2464" s="3">
        <v>2459</v>
      </c>
      <c r="B2464" s="3" t="str">
        <f>"00671062"</f>
        <v>00671062</v>
      </c>
    </row>
    <row r="2465" spans="1:2" x14ac:dyDescent="0.25">
      <c r="A2465" s="3">
        <v>2460</v>
      </c>
      <c r="B2465" s="3" t="str">
        <f>"00671082"</f>
        <v>00671082</v>
      </c>
    </row>
    <row r="2466" spans="1:2" x14ac:dyDescent="0.25">
      <c r="A2466" s="3">
        <v>2461</v>
      </c>
      <c r="B2466" s="3" t="str">
        <f>"00671086"</f>
        <v>00671086</v>
      </c>
    </row>
    <row r="2467" spans="1:2" x14ac:dyDescent="0.25">
      <c r="A2467" s="3">
        <v>2462</v>
      </c>
      <c r="B2467" s="3" t="str">
        <f>"00671104"</f>
        <v>00671104</v>
      </c>
    </row>
    <row r="2468" spans="1:2" x14ac:dyDescent="0.25">
      <c r="A2468" s="3">
        <v>2463</v>
      </c>
      <c r="B2468" s="3" t="str">
        <f>"00671189"</f>
        <v>00671189</v>
      </c>
    </row>
    <row r="2469" spans="1:2" x14ac:dyDescent="0.25">
      <c r="A2469" s="3">
        <v>2464</v>
      </c>
      <c r="B2469" s="3" t="str">
        <f>"00671194"</f>
        <v>00671194</v>
      </c>
    </row>
    <row r="2470" spans="1:2" x14ac:dyDescent="0.25">
      <c r="A2470" s="3">
        <v>2465</v>
      </c>
      <c r="B2470" s="3" t="str">
        <f>"00671216"</f>
        <v>00671216</v>
      </c>
    </row>
    <row r="2471" spans="1:2" x14ac:dyDescent="0.25">
      <c r="A2471" s="3">
        <v>2466</v>
      </c>
      <c r="B2471" s="3" t="str">
        <f>"00671218"</f>
        <v>00671218</v>
      </c>
    </row>
    <row r="2472" spans="1:2" x14ac:dyDescent="0.25">
      <c r="A2472" s="3">
        <v>2467</v>
      </c>
      <c r="B2472" s="3" t="str">
        <f>"00671226"</f>
        <v>00671226</v>
      </c>
    </row>
    <row r="2473" spans="1:2" x14ac:dyDescent="0.25">
      <c r="A2473" s="3">
        <v>2468</v>
      </c>
      <c r="B2473" s="3" t="str">
        <f>"00671275"</f>
        <v>00671275</v>
      </c>
    </row>
    <row r="2474" spans="1:2" x14ac:dyDescent="0.25">
      <c r="A2474" s="3">
        <v>2469</v>
      </c>
      <c r="B2474" s="3" t="str">
        <f>"00671297"</f>
        <v>00671297</v>
      </c>
    </row>
    <row r="2475" spans="1:2" x14ac:dyDescent="0.25">
      <c r="A2475" s="3">
        <v>2470</v>
      </c>
      <c r="B2475" s="3" t="str">
        <f>"00671312"</f>
        <v>00671312</v>
      </c>
    </row>
    <row r="2476" spans="1:2" x14ac:dyDescent="0.25">
      <c r="A2476" s="3">
        <v>2471</v>
      </c>
      <c r="B2476" s="3" t="str">
        <f>"00671380"</f>
        <v>00671380</v>
      </c>
    </row>
    <row r="2477" spans="1:2" x14ac:dyDescent="0.25">
      <c r="A2477" s="3">
        <v>2472</v>
      </c>
      <c r="B2477" s="3" t="str">
        <f>"00671510"</f>
        <v>00671510</v>
      </c>
    </row>
    <row r="2478" spans="1:2" x14ac:dyDescent="0.25">
      <c r="A2478" s="3">
        <v>2473</v>
      </c>
      <c r="B2478" s="3" t="str">
        <f>"00671595"</f>
        <v>00671595</v>
      </c>
    </row>
    <row r="2479" spans="1:2" x14ac:dyDescent="0.25">
      <c r="A2479" s="3">
        <v>2474</v>
      </c>
      <c r="B2479" s="3" t="str">
        <f>"00671624"</f>
        <v>00671624</v>
      </c>
    </row>
    <row r="2480" spans="1:2" x14ac:dyDescent="0.25">
      <c r="A2480" s="3">
        <v>2475</v>
      </c>
      <c r="B2480" s="3" t="str">
        <f>"00671638"</f>
        <v>00671638</v>
      </c>
    </row>
    <row r="2481" spans="1:2" x14ac:dyDescent="0.25">
      <c r="A2481" s="3">
        <v>2476</v>
      </c>
      <c r="B2481" s="3" t="str">
        <f>"00671658"</f>
        <v>00671658</v>
      </c>
    </row>
    <row r="2482" spans="1:2" x14ac:dyDescent="0.25">
      <c r="A2482" s="3">
        <v>2477</v>
      </c>
      <c r="B2482" s="3" t="str">
        <f>"00671722"</f>
        <v>00671722</v>
      </c>
    </row>
    <row r="2483" spans="1:2" x14ac:dyDescent="0.25">
      <c r="A2483" s="3">
        <v>2478</v>
      </c>
      <c r="B2483" s="3" t="str">
        <f>"00671724"</f>
        <v>00671724</v>
      </c>
    </row>
    <row r="2484" spans="1:2" x14ac:dyDescent="0.25">
      <c r="A2484" s="3">
        <v>2479</v>
      </c>
      <c r="B2484" s="3" t="str">
        <f>"00671747"</f>
        <v>00671747</v>
      </c>
    </row>
    <row r="2485" spans="1:2" x14ac:dyDescent="0.25">
      <c r="A2485" s="3">
        <v>2480</v>
      </c>
      <c r="B2485" s="3" t="str">
        <f>"00671781"</f>
        <v>00671781</v>
      </c>
    </row>
    <row r="2486" spans="1:2" x14ac:dyDescent="0.25">
      <c r="A2486" s="3">
        <v>2481</v>
      </c>
      <c r="B2486" s="3" t="str">
        <f>"00671850"</f>
        <v>00671850</v>
      </c>
    </row>
    <row r="2487" spans="1:2" x14ac:dyDescent="0.25">
      <c r="A2487" s="3">
        <v>2482</v>
      </c>
      <c r="B2487" s="3" t="str">
        <f>"00671856"</f>
        <v>00671856</v>
      </c>
    </row>
    <row r="2488" spans="1:2" x14ac:dyDescent="0.25">
      <c r="A2488" s="3">
        <v>2483</v>
      </c>
      <c r="B2488" s="3" t="str">
        <f>"00671857"</f>
        <v>00671857</v>
      </c>
    </row>
    <row r="2489" spans="1:2" x14ac:dyDescent="0.25">
      <c r="A2489" s="3">
        <v>2484</v>
      </c>
      <c r="B2489" s="3" t="str">
        <f>"00671858"</f>
        <v>00671858</v>
      </c>
    </row>
    <row r="2490" spans="1:2" x14ac:dyDescent="0.25">
      <c r="A2490" s="3">
        <v>2485</v>
      </c>
      <c r="B2490" s="3" t="str">
        <f>"00671902"</f>
        <v>00671902</v>
      </c>
    </row>
    <row r="2491" spans="1:2" x14ac:dyDescent="0.25">
      <c r="A2491" s="3">
        <v>2486</v>
      </c>
      <c r="B2491" s="3" t="str">
        <f>"00671946"</f>
        <v>00671946</v>
      </c>
    </row>
    <row r="2492" spans="1:2" x14ac:dyDescent="0.25">
      <c r="A2492" s="3">
        <v>2487</v>
      </c>
      <c r="B2492" s="3" t="str">
        <f>"00672031"</f>
        <v>00672031</v>
      </c>
    </row>
    <row r="2493" spans="1:2" x14ac:dyDescent="0.25">
      <c r="A2493" s="3">
        <v>2488</v>
      </c>
      <c r="B2493" s="3" t="str">
        <f>"00672079"</f>
        <v>00672079</v>
      </c>
    </row>
    <row r="2494" spans="1:2" x14ac:dyDescent="0.25">
      <c r="A2494" s="3">
        <v>2489</v>
      </c>
      <c r="B2494" s="3" t="str">
        <f>"00672091"</f>
        <v>00672091</v>
      </c>
    </row>
    <row r="2495" spans="1:2" x14ac:dyDescent="0.25">
      <c r="A2495" s="3">
        <v>2490</v>
      </c>
      <c r="B2495" s="3" t="str">
        <f>"00672105"</f>
        <v>00672105</v>
      </c>
    </row>
    <row r="2496" spans="1:2" x14ac:dyDescent="0.25">
      <c r="A2496" s="3">
        <v>2491</v>
      </c>
      <c r="B2496" s="3" t="str">
        <f>"00672142"</f>
        <v>00672142</v>
      </c>
    </row>
    <row r="2497" spans="1:2" x14ac:dyDescent="0.25">
      <c r="A2497" s="3">
        <v>2492</v>
      </c>
      <c r="B2497" s="3" t="str">
        <f>"00672168"</f>
        <v>00672168</v>
      </c>
    </row>
    <row r="2498" spans="1:2" x14ac:dyDescent="0.25">
      <c r="A2498" s="3">
        <v>2493</v>
      </c>
      <c r="B2498" s="3" t="str">
        <f>"00672212"</f>
        <v>00672212</v>
      </c>
    </row>
    <row r="2499" spans="1:2" x14ac:dyDescent="0.25">
      <c r="A2499" s="3">
        <v>2494</v>
      </c>
      <c r="B2499" s="3" t="str">
        <f>"00672237"</f>
        <v>00672237</v>
      </c>
    </row>
    <row r="2500" spans="1:2" x14ac:dyDescent="0.25">
      <c r="A2500" s="3">
        <v>2495</v>
      </c>
      <c r="B2500" s="3" t="str">
        <f>"00672254"</f>
        <v>00672254</v>
      </c>
    </row>
    <row r="2501" spans="1:2" x14ac:dyDescent="0.25">
      <c r="A2501" s="3">
        <v>2496</v>
      </c>
      <c r="B2501" s="3" t="str">
        <f>"00672270"</f>
        <v>00672270</v>
      </c>
    </row>
    <row r="2502" spans="1:2" x14ac:dyDescent="0.25">
      <c r="A2502" s="3">
        <v>2497</v>
      </c>
      <c r="B2502" s="3" t="str">
        <f>"00672295"</f>
        <v>00672295</v>
      </c>
    </row>
    <row r="2503" spans="1:2" x14ac:dyDescent="0.25">
      <c r="A2503" s="3">
        <v>2498</v>
      </c>
      <c r="B2503" s="3" t="str">
        <f>"00672325"</f>
        <v>00672325</v>
      </c>
    </row>
    <row r="2504" spans="1:2" x14ac:dyDescent="0.25">
      <c r="A2504" s="3">
        <v>2499</v>
      </c>
      <c r="B2504" s="3" t="str">
        <f>"00672470"</f>
        <v>00672470</v>
      </c>
    </row>
    <row r="2505" spans="1:2" x14ac:dyDescent="0.25">
      <c r="A2505" s="3">
        <v>2500</v>
      </c>
      <c r="B2505" s="3" t="str">
        <f>"00672604"</f>
        <v>00672604</v>
      </c>
    </row>
    <row r="2506" spans="1:2" x14ac:dyDescent="0.25">
      <c r="A2506" s="3">
        <v>2501</v>
      </c>
      <c r="B2506" s="3" t="str">
        <f>"00672680"</f>
        <v>00672680</v>
      </c>
    </row>
    <row r="2507" spans="1:2" x14ac:dyDescent="0.25">
      <c r="A2507" s="3">
        <v>2502</v>
      </c>
      <c r="B2507" s="3" t="str">
        <f>"00672682"</f>
        <v>00672682</v>
      </c>
    </row>
    <row r="2508" spans="1:2" x14ac:dyDescent="0.25">
      <c r="A2508" s="3">
        <v>2503</v>
      </c>
      <c r="B2508" s="3" t="str">
        <f>"00672685"</f>
        <v>00672685</v>
      </c>
    </row>
    <row r="2509" spans="1:2" x14ac:dyDescent="0.25">
      <c r="A2509" s="3">
        <v>2504</v>
      </c>
      <c r="B2509" s="3" t="str">
        <f>"00672700"</f>
        <v>00672700</v>
      </c>
    </row>
    <row r="2510" spans="1:2" x14ac:dyDescent="0.25">
      <c r="A2510" s="3">
        <v>2505</v>
      </c>
      <c r="B2510" s="3" t="str">
        <f>"00672773"</f>
        <v>00672773</v>
      </c>
    </row>
    <row r="2511" spans="1:2" x14ac:dyDescent="0.25">
      <c r="A2511" s="3">
        <v>2506</v>
      </c>
      <c r="B2511" s="3" t="str">
        <f>"00672892"</f>
        <v>00672892</v>
      </c>
    </row>
    <row r="2512" spans="1:2" x14ac:dyDescent="0.25">
      <c r="A2512" s="3">
        <v>2507</v>
      </c>
      <c r="B2512" s="3" t="str">
        <f>"00672915"</f>
        <v>00672915</v>
      </c>
    </row>
    <row r="2513" spans="1:2" x14ac:dyDescent="0.25">
      <c r="A2513" s="3">
        <v>2508</v>
      </c>
      <c r="B2513" s="3" t="str">
        <f>"00672994"</f>
        <v>00672994</v>
      </c>
    </row>
    <row r="2514" spans="1:2" x14ac:dyDescent="0.25">
      <c r="A2514" s="3">
        <v>2509</v>
      </c>
      <c r="B2514" s="3" t="str">
        <f>"00673020"</f>
        <v>00673020</v>
      </c>
    </row>
    <row r="2515" spans="1:2" x14ac:dyDescent="0.25">
      <c r="A2515" s="3">
        <v>2510</v>
      </c>
      <c r="B2515" s="3" t="str">
        <f>"00673047"</f>
        <v>00673047</v>
      </c>
    </row>
    <row r="2516" spans="1:2" x14ac:dyDescent="0.25">
      <c r="A2516" s="3">
        <v>2511</v>
      </c>
      <c r="B2516" s="3" t="str">
        <f>"00673049"</f>
        <v>00673049</v>
      </c>
    </row>
    <row r="2517" spans="1:2" x14ac:dyDescent="0.25">
      <c r="A2517" s="3">
        <v>2512</v>
      </c>
      <c r="B2517" s="3" t="str">
        <f>"00673051"</f>
        <v>00673051</v>
      </c>
    </row>
    <row r="2518" spans="1:2" x14ac:dyDescent="0.25">
      <c r="A2518" s="3">
        <v>2513</v>
      </c>
      <c r="B2518" s="3" t="str">
        <f>"00673117"</f>
        <v>00673117</v>
      </c>
    </row>
    <row r="2519" spans="1:2" x14ac:dyDescent="0.25">
      <c r="A2519" s="3">
        <v>2514</v>
      </c>
      <c r="B2519" s="3" t="str">
        <f>"00673158"</f>
        <v>00673158</v>
      </c>
    </row>
    <row r="2520" spans="1:2" x14ac:dyDescent="0.25">
      <c r="A2520" s="3">
        <v>2515</v>
      </c>
      <c r="B2520" s="3" t="str">
        <f>"00673261"</f>
        <v>00673261</v>
      </c>
    </row>
    <row r="2521" spans="1:2" x14ac:dyDescent="0.25">
      <c r="A2521" s="3">
        <v>2516</v>
      </c>
      <c r="B2521" s="3" t="str">
        <f>"00673299"</f>
        <v>00673299</v>
      </c>
    </row>
    <row r="2522" spans="1:2" x14ac:dyDescent="0.25">
      <c r="A2522" s="3">
        <v>2517</v>
      </c>
      <c r="B2522" s="3" t="str">
        <f>"00673364"</f>
        <v>00673364</v>
      </c>
    </row>
    <row r="2523" spans="1:2" x14ac:dyDescent="0.25">
      <c r="A2523" s="3">
        <v>2518</v>
      </c>
      <c r="B2523" s="3" t="str">
        <f>"00673379"</f>
        <v>00673379</v>
      </c>
    </row>
    <row r="2524" spans="1:2" x14ac:dyDescent="0.25">
      <c r="A2524" s="3">
        <v>2519</v>
      </c>
      <c r="B2524" s="3" t="str">
        <f>"00673482"</f>
        <v>00673482</v>
      </c>
    </row>
    <row r="2525" spans="1:2" x14ac:dyDescent="0.25">
      <c r="A2525" s="3">
        <v>2520</v>
      </c>
      <c r="B2525" s="3" t="str">
        <f>"00673504"</f>
        <v>00673504</v>
      </c>
    </row>
    <row r="2526" spans="1:2" x14ac:dyDescent="0.25">
      <c r="A2526" s="3">
        <v>2521</v>
      </c>
      <c r="B2526" s="3" t="str">
        <f>"00673515"</f>
        <v>00673515</v>
      </c>
    </row>
    <row r="2527" spans="1:2" x14ac:dyDescent="0.25">
      <c r="A2527" s="3">
        <v>2522</v>
      </c>
      <c r="B2527" s="3" t="str">
        <f>"00673568"</f>
        <v>00673568</v>
      </c>
    </row>
    <row r="2528" spans="1:2" x14ac:dyDescent="0.25">
      <c r="A2528" s="3">
        <v>2523</v>
      </c>
      <c r="B2528" s="3" t="str">
        <f>"00673582"</f>
        <v>00673582</v>
      </c>
    </row>
    <row r="2529" spans="1:2" x14ac:dyDescent="0.25">
      <c r="A2529" s="3">
        <v>2524</v>
      </c>
      <c r="B2529" s="3" t="str">
        <f>"00673627"</f>
        <v>00673627</v>
      </c>
    </row>
    <row r="2530" spans="1:2" x14ac:dyDescent="0.25">
      <c r="A2530" s="3">
        <v>2525</v>
      </c>
      <c r="B2530" s="3" t="str">
        <f>"00673653"</f>
        <v>00673653</v>
      </c>
    </row>
    <row r="2531" spans="1:2" x14ac:dyDescent="0.25">
      <c r="A2531" s="3">
        <v>2526</v>
      </c>
      <c r="B2531" s="3" t="str">
        <f>"00673664"</f>
        <v>00673664</v>
      </c>
    </row>
    <row r="2532" spans="1:2" x14ac:dyDescent="0.25">
      <c r="A2532" s="3">
        <v>2527</v>
      </c>
      <c r="B2532" s="3" t="str">
        <f>"00673779"</f>
        <v>00673779</v>
      </c>
    </row>
    <row r="2533" spans="1:2" x14ac:dyDescent="0.25">
      <c r="A2533" s="3">
        <v>2528</v>
      </c>
      <c r="B2533" s="3" t="str">
        <f>"00673826"</f>
        <v>00673826</v>
      </c>
    </row>
    <row r="2534" spans="1:2" x14ac:dyDescent="0.25">
      <c r="A2534" s="3">
        <v>2529</v>
      </c>
      <c r="B2534" s="3" t="str">
        <f>"00673856"</f>
        <v>00673856</v>
      </c>
    </row>
    <row r="2535" spans="1:2" x14ac:dyDescent="0.25">
      <c r="A2535" s="3">
        <v>2530</v>
      </c>
      <c r="B2535" s="3" t="str">
        <f>"00673899"</f>
        <v>00673899</v>
      </c>
    </row>
    <row r="2536" spans="1:2" x14ac:dyDescent="0.25">
      <c r="A2536" s="3">
        <v>2531</v>
      </c>
      <c r="B2536" s="3" t="str">
        <f>"00673918"</f>
        <v>00673918</v>
      </c>
    </row>
    <row r="2537" spans="1:2" x14ac:dyDescent="0.25">
      <c r="A2537" s="3">
        <v>2532</v>
      </c>
      <c r="B2537" s="3" t="str">
        <f>"00673938"</f>
        <v>00673938</v>
      </c>
    </row>
    <row r="2538" spans="1:2" x14ac:dyDescent="0.25">
      <c r="A2538" s="3">
        <v>2533</v>
      </c>
      <c r="B2538" s="3" t="str">
        <f>"00673965"</f>
        <v>00673965</v>
      </c>
    </row>
    <row r="2539" spans="1:2" x14ac:dyDescent="0.25">
      <c r="A2539" s="3">
        <v>2534</v>
      </c>
      <c r="B2539" s="3" t="str">
        <f>"00673975"</f>
        <v>00673975</v>
      </c>
    </row>
    <row r="2540" spans="1:2" x14ac:dyDescent="0.25">
      <c r="A2540" s="3">
        <v>2535</v>
      </c>
      <c r="B2540" s="3" t="str">
        <f>"00673985"</f>
        <v>00673985</v>
      </c>
    </row>
    <row r="2541" spans="1:2" x14ac:dyDescent="0.25">
      <c r="A2541" s="3">
        <v>2536</v>
      </c>
      <c r="B2541" s="3" t="str">
        <f>"00674078"</f>
        <v>00674078</v>
      </c>
    </row>
    <row r="2542" spans="1:2" x14ac:dyDescent="0.25">
      <c r="A2542" s="3">
        <v>2537</v>
      </c>
      <c r="B2542" s="3" t="str">
        <f>"00674103"</f>
        <v>00674103</v>
      </c>
    </row>
    <row r="2543" spans="1:2" x14ac:dyDescent="0.25">
      <c r="A2543" s="3">
        <v>2538</v>
      </c>
      <c r="B2543" s="3" t="str">
        <f>"00674140"</f>
        <v>00674140</v>
      </c>
    </row>
    <row r="2544" spans="1:2" x14ac:dyDescent="0.25">
      <c r="A2544" s="3">
        <v>2539</v>
      </c>
      <c r="B2544" s="3" t="str">
        <f>"00674141"</f>
        <v>00674141</v>
      </c>
    </row>
    <row r="2545" spans="1:2" x14ac:dyDescent="0.25">
      <c r="A2545" s="3">
        <v>2540</v>
      </c>
      <c r="B2545" s="3" t="str">
        <f>"00674170"</f>
        <v>00674170</v>
      </c>
    </row>
    <row r="2546" spans="1:2" x14ac:dyDescent="0.25">
      <c r="A2546" s="3">
        <v>2541</v>
      </c>
      <c r="B2546" s="3" t="str">
        <f>"00674212"</f>
        <v>00674212</v>
      </c>
    </row>
    <row r="2547" spans="1:2" x14ac:dyDescent="0.25">
      <c r="A2547" s="3">
        <v>2542</v>
      </c>
      <c r="B2547" s="3" t="str">
        <f>"00674218"</f>
        <v>00674218</v>
      </c>
    </row>
    <row r="2548" spans="1:2" x14ac:dyDescent="0.25">
      <c r="A2548" s="3">
        <v>2543</v>
      </c>
      <c r="B2548" s="3" t="str">
        <f>"00674221"</f>
        <v>00674221</v>
      </c>
    </row>
    <row r="2549" spans="1:2" x14ac:dyDescent="0.25">
      <c r="A2549" s="3">
        <v>2544</v>
      </c>
      <c r="B2549" s="3" t="str">
        <f>"00674239"</f>
        <v>00674239</v>
      </c>
    </row>
    <row r="2550" spans="1:2" x14ac:dyDescent="0.25">
      <c r="A2550" s="3">
        <v>2545</v>
      </c>
      <c r="B2550" s="3" t="str">
        <f>"00674284"</f>
        <v>00674284</v>
      </c>
    </row>
    <row r="2551" spans="1:2" x14ac:dyDescent="0.25">
      <c r="A2551" s="3">
        <v>2546</v>
      </c>
      <c r="B2551" s="3" t="str">
        <f>"00674297"</f>
        <v>00674297</v>
      </c>
    </row>
    <row r="2552" spans="1:2" x14ac:dyDescent="0.25">
      <c r="A2552" s="3">
        <v>2547</v>
      </c>
      <c r="B2552" s="3" t="str">
        <f>"00674311"</f>
        <v>00674311</v>
      </c>
    </row>
    <row r="2553" spans="1:2" x14ac:dyDescent="0.25">
      <c r="A2553" s="3">
        <v>2548</v>
      </c>
      <c r="B2553" s="3" t="str">
        <f>"00674314"</f>
        <v>00674314</v>
      </c>
    </row>
    <row r="2554" spans="1:2" x14ac:dyDescent="0.25">
      <c r="A2554" s="3">
        <v>2549</v>
      </c>
      <c r="B2554" s="3" t="str">
        <f>"00674327"</f>
        <v>00674327</v>
      </c>
    </row>
    <row r="2555" spans="1:2" x14ac:dyDescent="0.25">
      <c r="A2555" s="3">
        <v>2550</v>
      </c>
      <c r="B2555" s="3" t="str">
        <f>"00674363"</f>
        <v>00674363</v>
      </c>
    </row>
    <row r="2556" spans="1:2" x14ac:dyDescent="0.25">
      <c r="A2556" s="3">
        <v>2551</v>
      </c>
      <c r="B2556" s="3" t="str">
        <f>"00674401"</f>
        <v>00674401</v>
      </c>
    </row>
    <row r="2557" spans="1:2" x14ac:dyDescent="0.25">
      <c r="A2557" s="3">
        <v>2552</v>
      </c>
      <c r="B2557" s="3" t="str">
        <f>"00674456"</f>
        <v>00674456</v>
      </c>
    </row>
    <row r="2558" spans="1:2" x14ac:dyDescent="0.25">
      <c r="A2558" s="3">
        <v>2553</v>
      </c>
      <c r="B2558" s="3" t="str">
        <f>"00674502"</f>
        <v>00674502</v>
      </c>
    </row>
    <row r="2559" spans="1:2" x14ac:dyDescent="0.25">
      <c r="A2559" s="3">
        <v>2554</v>
      </c>
      <c r="B2559" s="3" t="str">
        <f>"00674507"</f>
        <v>00674507</v>
      </c>
    </row>
    <row r="2560" spans="1:2" x14ac:dyDescent="0.25">
      <c r="A2560" s="3">
        <v>2555</v>
      </c>
      <c r="B2560" s="3" t="str">
        <f>"00674530"</f>
        <v>00674530</v>
      </c>
    </row>
    <row r="2561" spans="1:2" x14ac:dyDescent="0.25">
      <c r="A2561" s="3">
        <v>2556</v>
      </c>
      <c r="B2561" s="3" t="str">
        <f>"00674611"</f>
        <v>00674611</v>
      </c>
    </row>
    <row r="2562" spans="1:2" x14ac:dyDescent="0.25">
      <c r="A2562" s="3">
        <v>2557</v>
      </c>
      <c r="B2562" s="3" t="str">
        <f>"00674638"</f>
        <v>00674638</v>
      </c>
    </row>
    <row r="2563" spans="1:2" x14ac:dyDescent="0.25">
      <c r="A2563" s="3">
        <v>2558</v>
      </c>
      <c r="B2563" s="3" t="str">
        <f>"00674648"</f>
        <v>00674648</v>
      </c>
    </row>
    <row r="2564" spans="1:2" x14ac:dyDescent="0.25">
      <c r="A2564" s="3">
        <v>2559</v>
      </c>
      <c r="B2564" s="3" t="str">
        <f>"00674651"</f>
        <v>00674651</v>
      </c>
    </row>
    <row r="2565" spans="1:2" x14ac:dyDescent="0.25">
      <c r="A2565" s="3">
        <v>2560</v>
      </c>
      <c r="B2565" s="3" t="str">
        <f>"00674655"</f>
        <v>00674655</v>
      </c>
    </row>
    <row r="2566" spans="1:2" x14ac:dyDescent="0.25">
      <c r="A2566" s="3">
        <v>2561</v>
      </c>
      <c r="B2566" s="3" t="str">
        <f>"00674667"</f>
        <v>00674667</v>
      </c>
    </row>
    <row r="2567" spans="1:2" x14ac:dyDescent="0.25">
      <c r="A2567" s="3">
        <v>2562</v>
      </c>
      <c r="B2567" s="3" t="str">
        <f>"00674668"</f>
        <v>00674668</v>
      </c>
    </row>
    <row r="2568" spans="1:2" x14ac:dyDescent="0.25">
      <c r="A2568" s="3">
        <v>2563</v>
      </c>
      <c r="B2568" s="3" t="str">
        <f>"00674705"</f>
        <v>00674705</v>
      </c>
    </row>
    <row r="2569" spans="1:2" x14ac:dyDescent="0.25">
      <c r="A2569" s="3">
        <v>2564</v>
      </c>
      <c r="B2569" s="3" t="str">
        <f>"00674759"</f>
        <v>00674759</v>
      </c>
    </row>
    <row r="2570" spans="1:2" x14ac:dyDescent="0.25">
      <c r="A2570" s="3">
        <v>2565</v>
      </c>
      <c r="B2570" s="3" t="str">
        <f>"00674763"</f>
        <v>00674763</v>
      </c>
    </row>
    <row r="2571" spans="1:2" x14ac:dyDescent="0.25">
      <c r="A2571" s="3">
        <v>2566</v>
      </c>
      <c r="B2571" s="3" t="str">
        <f>"00674774"</f>
        <v>00674774</v>
      </c>
    </row>
    <row r="2572" spans="1:2" x14ac:dyDescent="0.25">
      <c r="A2572" s="3">
        <v>2567</v>
      </c>
      <c r="B2572" s="3" t="str">
        <f>"00674783"</f>
        <v>00674783</v>
      </c>
    </row>
    <row r="2573" spans="1:2" x14ac:dyDescent="0.25">
      <c r="A2573" s="3">
        <v>2568</v>
      </c>
      <c r="B2573" s="3" t="str">
        <f>"00674829"</f>
        <v>00674829</v>
      </c>
    </row>
    <row r="2574" spans="1:2" x14ac:dyDescent="0.25">
      <c r="A2574" s="3">
        <v>2569</v>
      </c>
      <c r="B2574" s="3" t="str">
        <f>"00674888"</f>
        <v>00674888</v>
      </c>
    </row>
    <row r="2575" spans="1:2" x14ac:dyDescent="0.25">
      <c r="A2575" s="3">
        <v>2570</v>
      </c>
      <c r="B2575" s="3" t="str">
        <f>"00674929"</f>
        <v>00674929</v>
      </c>
    </row>
    <row r="2576" spans="1:2" x14ac:dyDescent="0.25">
      <c r="A2576" s="3">
        <v>2571</v>
      </c>
      <c r="B2576" s="3" t="str">
        <f>"00674967"</f>
        <v>00674967</v>
      </c>
    </row>
    <row r="2577" spans="1:2" x14ac:dyDescent="0.25">
      <c r="A2577" s="3">
        <v>2572</v>
      </c>
      <c r="B2577" s="3" t="str">
        <f>"00675042"</f>
        <v>00675042</v>
      </c>
    </row>
    <row r="2578" spans="1:2" x14ac:dyDescent="0.25">
      <c r="A2578" s="3">
        <v>2573</v>
      </c>
      <c r="B2578" s="3" t="str">
        <f>"00675064"</f>
        <v>00675064</v>
      </c>
    </row>
    <row r="2579" spans="1:2" x14ac:dyDescent="0.25">
      <c r="A2579" s="3">
        <v>2574</v>
      </c>
      <c r="B2579" s="3" t="str">
        <f>"00675113"</f>
        <v>00675113</v>
      </c>
    </row>
    <row r="2580" spans="1:2" x14ac:dyDescent="0.25">
      <c r="A2580" s="3">
        <v>2575</v>
      </c>
      <c r="B2580" s="3" t="str">
        <f>"00675114"</f>
        <v>00675114</v>
      </c>
    </row>
    <row r="2581" spans="1:2" x14ac:dyDescent="0.25">
      <c r="A2581" s="3">
        <v>2576</v>
      </c>
      <c r="B2581" s="3" t="str">
        <f>"00675115"</f>
        <v>00675115</v>
      </c>
    </row>
    <row r="2582" spans="1:2" x14ac:dyDescent="0.25">
      <c r="A2582" s="3">
        <v>2577</v>
      </c>
      <c r="B2582" s="3" t="str">
        <f>"00675122"</f>
        <v>00675122</v>
      </c>
    </row>
    <row r="2583" spans="1:2" x14ac:dyDescent="0.25">
      <c r="A2583" s="3">
        <v>2578</v>
      </c>
      <c r="B2583" s="3" t="str">
        <f>"00675157"</f>
        <v>00675157</v>
      </c>
    </row>
    <row r="2584" spans="1:2" x14ac:dyDescent="0.25">
      <c r="A2584" s="3">
        <v>2579</v>
      </c>
      <c r="B2584" s="3" t="str">
        <f>"00675206"</f>
        <v>00675206</v>
      </c>
    </row>
    <row r="2585" spans="1:2" x14ac:dyDescent="0.25">
      <c r="A2585" s="3">
        <v>2580</v>
      </c>
      <c r="B2585" s="3" t="str">
        <f>"00675302"</f>
        <v>00675302</v>
      </c>
    </row>
    <row r="2586" spans="1:2" x14ac:dyDescent="0.25">
      <c r="A2586" s="3">
        <v>2581</v>
      </c>
      <c r="B2586" s="3" t="str">
        <f>"00675343"</f>
        <v>00675343</v>
      </c>
    </row>
    <row r="2587" spans="1:2" x14ac:dyDescent="0.25">
      <c r="A2587" s="3">
        <v>2582</v>
      </c>
      <c r="B2587" s="3" t="str">
        <f>"00675396"</f>
        <v>00675396</v>
      </c>
    </row>
    <row r="2588" spans="1:2" x14ac:dyDescent="0.25">
      <c r="A2588" s="3">
        <v>2583</v>
      </c>
      <c r="B2588" s="3" t="str">
        <f>"00675422"</f>
        <v>00675422</v>
      </c>
    </row>
    <row r="2589" spans="1:2" x14ac:dyDescent="0.25">
      <c r="A2589" s="3">
        <v>2584</v>
      </c>
      <c r="B2589" s="3" t="str">
        <f>"00675520"</f>
        <v>00675520</v>
      </c>
    </row>
    <row r="2590" spans="1:2" x14ac:dyDescent="0.25">
      <c r="A2590" s="3">
        <v>2585</v>
      </c>
      <c r="B2590" s="3" t="str">
        <f>"00675552"</f>
        <v>00675552</v>
      </c>
    </row>
    <row r="2591" spans="1:2" x14ac:dyDescent="0.25">
      <c r="A2591" s="3">
        <v>2586</v>
      </c>
      <c r="B2591" s="3" t="str">
        <f>"00675558"</f>
        <v>00675558</v>
      </c>
    </row>
    <row r="2592" spans="1:2" x14ac:dyDescent="0.25">
      <c r="A2592" s="3">
        <v>2587</v>
      </c>
      <c r="B2592" s="3" t="str">
        <f>"00675598"</f>
        <v>00675598</v>
      </c>
    </row>
    <row r="2593" spans="1:2" x14ac:dyDescent="0.25">
      <c r="A2593" s="3">
        <v>2588</v>
      </c>
      <c r="B2593" s="3" t="str">
        <f>"00675676"</f>
        <v>00675676</v>
      </c>
    </row>
    <row r="2594" spans="1:2" x14ac:dyDescent="0.25">
      <c r="A2594" s="3">
        <v>2589</v>
      </c>
      <c r="B2594" s="3" t="str">
        <f>"00675679"</f>
        <v>00675679</v>
      </c>
    </row>
    <row r="2595" spans="1:2" x14ac:dyDescent="0.25">
      <c r="A2595" s="3">
        <v>2590</v>
      </c>
      <c r="B2595" s="3" t="str">
        <f>"00675697"</f>
        <v>00675697</v>
      </c>
    </row>
    <row r="2596" spans="1:2" x14ac:dyDescent="0.25">
      <c r="A2596" s="3">
        <v>2591</v>
      </c>
      <c r="B2596" s="3" t="str">
        <f>"00675704"</f>
        <v>00675704</v>
      </c>
    </row>
    <row r="2597" spans="1:2" x14ac:dyDescent="0.25">
      <c r="A2597" s="3">
        <v>2592</v>
      </c>
      <c r="B2597" s="3" t="str">
        <f>"00675710"</f>
        <v>00675710</v>
      </c>
    </row>
    <row r="2598" spans="1:2" x14ac:dyDescent="0.25">
      <c r="A2598" s="3">
        <v>2593</v>
      </c>
      <c r="B2598" s="3" t="str">
        <f>"00675717"</f>
        <v>00675717</v>
      </c>
    </row>
    <row r="2599" spans="1:2" x14ac:dyDescent="0.25">
      <c r="A2599" s="3">
        <v>2594</v>
      </c>
      <c r="B2599" s="3" t="str">
        <f>"00675720"</f>
        <v>00675720</v>
      </c>
    </row>
    <row r="2600" spans="1:2" x14ac:dyDescent="0.25">
      <c r="A2600" s="3">
        <v>2595</v>
      </c>
      <c r="B2600" s="3" t="str">
        <f>"00675783"</f>
        <v>00675783</v>
      </c>
    </row>
    <row r="2601" spans="1:2" x14ac:dyDescent="0.25">
      <c r="A2601" s="3">
        <v>2596</v>
      </c>
      <c r="B2601" s="3" t="str">
        <f>"00675791"</f>
        <v>00675791</v>
      </c>
    </row>
    <row r="2602" spans="1:2" x14ac:dyDescent="0.25">
      <c r="A2602" s="3">
        <v>2597</v>
      </c>
      <c r="B2602" s="3" t="str">
        <f>"00675801"</f>
        <v>00675801</v>
      </c>
    </row>
    <row r="2603" spans="1:2" x14ac:dyDescent="0.25">
      <c r="A2603" s="3">
        <v>2598</v>
      </c>
      <c r="B2603" s="3" t="str">
        <f>"00675805"</f>
        <v>00675805</v>
      </c>
    </row>
    <row r="2604" spans="1:2" x14ac:dyDescent="0.25">
      <c r="A2604" s="3">
        <v>2599</v>
      </c>
      <c r="B2604" s="3" t="str">
        <f>"00675807"</f>
        <v>00675807</v>
      </c>
    </row>
    <row r="2605" spans="1:2" x14ac:dyDescent="0.25">
      <c r="A2605" s="3">
        <v>2600</v>
      </c>
      <c r="B2605" s="3" t="str">
        <f>"00675827"</f>
        <v>00675827</v>
      </c>
    </row>
    <row r="2606" spans="1:2" x14ac:dyDescent="0.25">
      <c r="A2606" s="3">
        <v>2601</v>
      </c>
      <c r="B2606" s="3" t="str">
        <f>"00675841"</f>
        <v>00675841</v>
      </c>
    </row>
    <row r="2607" spans="1:2" x14ac:dyDescent="0.25">
      <c r="A2607" s="3">
        <v>2602</v>
      </c>
      <c r="B2607" s="3" t="str">
        <f>"00675844"</f>
        <v>00675844</v>
      </c>
    </row>
    <row r="2608" spans="1:2" x14ac:dyDescent="0.25">
      <c r="A2608" s="3">
        <v>2603</v>
      </c>
      <c r="B2608" s="3" t="str">
        <f>"00675853"</f>
        <v>00675853</v>
      </c>
    </row>
    <row r="2609" spans="1:2" x14ac:dyDescent="0.25">
      <c r="A2609" s="3">
        <v>2604</v>
      </c>
      <c r="B2609" s="3" t="str">
        <f>"00675945"</f>
        <v>00675945</v>
      </c>
    </row>
    <row r="2610" spans="1:2" x14ac:dyDescent="0.25">
      <c r="A2610" s="3">
        <v>2605</v>
      </c>
      <c r="B2610" s="3" t="str">
        <f>"00675973"</f>
        <v>00675973</v>
      </c>
    </row>
    <row r="2611" spans="1:2" x14ac:dyDescent="0.25">
      <c r="A2611" s="3">
        <v>2606</v>
      </c>
      <c r="B2611" s="3" t="str">
        <f>"00676019"</f>
        <v>00676019</v>
      </c>
    </row>
    <row r="2612" spans="1:2" x14ac:dyDescent="0.25">
      <c r="A2612" s="3">
        <v>2607</v>
      </c>
      <c r="B2612" s="3" t="str">
        <f>"00676036"</f>
        <v>00676036</v>
      </c>
    </row>
    <row r="2613" spans="1:2" x14ac:dyDescent="0.25">
      <c r="A2613" s="3">
        <v>2608</v>
      </c>
      <c r="B2613" s="3" t="str">
        <f>"00676043"</f>
        <v>00676043</v>
      </c>
    </row>
    <row r="2614" spans="1:2" x14ac:dyDescent="0.25">
      <c r="A2614" s="3">
        <v>2609</v>
      </c>
      <c r="B2614" s="3" t="str">
        <f>"00676070"</f>
        <v>00676070</v>
      </c>
    </row>
    <row r="2615" spans="1:2" x14ac:dyDescent="0.25">
      <c r="A2615" s="3">
        <v>2610</v>
      </c>
      <c r="B2615" s="3" t="str">
        <f>"00676079"</f>
        <v>00676079</v>
      </c>
    </row>
    <row r="2616" spans="1:2" x14ac:dyDescent="0.25">
      <c r="A2616" s="3">
        <v>2611</v>
      </c>
      <c r="B2616" s="3" t="str">
        <f>"00676080"</f>
        <v>00676080</v>
      </c>
    </row>
    <row r="2617" spans="1:2" x14ac:dyDescent="0.25">
      <c r="A2617" s="3">
        <v>2612</v>
      </c>
      <c r="B2617" s="3" t="str">
        <f>"00676160"</f>
        <v>00676160</v>
      </c>
    </row>
    <row r="2618" spans="1:2" x14ac:dyDescent="0.25">
      <c r="A2618" s="3">
        <v>2613</v>
      </c>
      <c r="B2618" s="3" t="str">
        <f>"00676193"</f>
        <v>00676193</v>
      </c>
    </row>
    <row r="2619" spans="1:2" x14ac:dyDescent="0.25">
      <c r="A2619" s="3">
        <v>2614</v>
      </c>
      <c r="B2619" s="3" t="str">
        <f>"00676208"</f>
        <v>00676208</v>
      </c>
    </row>
    <row r="2620" spans="1:2" x14ac:dyDescent="0.25">
      <c r="A2620" s="3">
        <v>2615</v>
      </c>
      <c r="B2620" s="3" t="str">
        <f>"00676222"</f>
        <v>00676222</v>
      </c>
    </row>
    <row r="2621" spans="1:2" x14ac:dyDescent="0.25">
      <c r="A2621" s="3">
        <v>2616</v>
      </c>
      <c r="B2621" s="3" t="str">
        <f>"00676224"</f>
        <v>00676224</v>
      </c>
    </row>
    <row r="2622" spans="1:2" x14ac:dyDescent="0.25">
      <c r="A2622" s="3">
        <v>2617</v>
      </c>
      <c r="B2622" s="3" t="str">
        <f>"00676307"</f>
        <v>00676307</v>
      </c>
    </row>
    <row r="2623" spans="1:2" x14ac:dyDescent="0.25">
      <c r="A2623" s="3">
        <v>2618</v>
      </c>
      <c r="B2623" s="3" t="str">
        <f>"00676332"</f>
        <v>00676332</v>
      </c>
    </row>
    <row r="2624" spans="1:2" x14ac:dyDescent="0.25">
      <c r="A2624" s="3">
        <v>2619</v>
      </c>
      <c r="B2624" s="3" t="str">
        <f>"00676354"</f>
        <v>00676354</v>
      </c>
    </row>
    <row r="2625" spans="1:2" x14ac:dyDescent="0.25">
      <c r="A2625" s="3">
        <v>2620</v>
      </c>
      <c r="B2625" s="3" t="str">
        <f>"00676425"</f>
        <v>00676425</v>
      </c>
    </row>
    <row r="2626" spans="1:2" x14ac:dyDescent="0.25">
      <c r="A2626" s="3">
        <v>2621</v>
      </c>
      <c r="B2626" s="3" t="str">
        <f>"00676460"</f>
        <v>00676460</v>
      </c>
    </row>
    <row r="2627" spans="1:2" x14ac:dyDescent="0.25">
      <c r="A2627" s="3">
        <v>2622</v>
      </c>
      <c r="B2627" s="3" t="str">
        <f>"00676469"</f>
        <v>00676469</v>
      </c>
    </row>
    <row r="2628" spans="1:2" x14ac:dyDescent="0.25">
      <c r="A2628" s="3">
        <v>2623</v>
      </c>
      <c r="B2628" s="3" t="str">
        <f>"00676569"</f>
        <v>00676569</v>
      </c>
    </row>
    <row r="2629" spans="1:2" x14ac:dyDescent="0.25">
      <c r="A2629" s="3">
        <v>2624</v>
      </c>
      <c r="B2629" s="3" t="str">
        <f>"00676610"</f>
        <v>00676610</v>
      </c>
    </row>
    <row r="2630" spans="1:2" x14ac:dyDescent="0.25">
      <c r="A2630" s="3">
        <v>2625</v>
      </c>
      <c r="B2630" s="3" t="str">
        <f>"00676624"</f>
        <v>00676624</v>
      </c>
    </row>
    <row r="2631" spans="1:2" x14ac:dyDescent="0.25">
      <c r="A2631" s="3">
        <v>2626</v>
      </c>
      <c r="B2631" s="3" t="str">
        <f>"00676665"</f>
        <v>00676665</v>
      </c>
    </row>
    <row r="2632" spans="1:2" x14ac:dyDescent="0.25">
      <c r="A2632" s="3">
        <v>2627</v>
      </c>
      <c r="B2632" s="3" t="str">
        <f>"00676740"</f>
        <v>00676740</v>
      </c>
    </row>
    <row r="2633" spans="1:2" x14ac:dyDescent="0.25">
      <c r="A2633" s="3">
        <v>2628</v>
      </c>
      <c r="B2633" s="3" t="str">
        <f>"00676870"</f>
        <v>00676870</v>
      </c>
    </row>
    <row r="2634" spans="1:2" x14ac:dyDescent="0.25">
      <c r="A2634" s="3">
        <v>2629</v>
      </c>
      <c r="B2634" s="3" t="str">
        <f>"00677032"</f>
        <v>00677032</v>
      </c>
    </row>
    <row r="2635" spans="1:2" x14ac:dyDescent="0.25">
      <c r="A2635" s="3">
        <v>2630</v>
      </c>
      <c r="B2635" s="3" t="str">
        <f>"00677047"</f>
        <v>00677047</v>
      </c>
    </row>
    <row r="2636" spans="1:2" x14ac:dyDescent="0.25">
      <c r="A2636" s="3">
        <v>2631</v>
      </c>
      <c r="B2636" s="3" t="str">
        <f>"00677065"</f>
        <v>00677065</v>
      </c>
    </row>
    <row r="2637" spans="1:2" x14ac:dyDescent="0.25">
      <c r="A2637" s="3">
        <v>2632</v>
      </c>
      <c r="B2637" s="3" t="str">
        <f>"00677097"</f>
        <v>00677097</v>
      </c>
    </row>
    <row r="2638" spans="1:2" x14ac:dyDescent="0.25">
      <c r="A2638" s="3">
        <v>2633</v>
      </c>
      <c r="B2638" s="3" t="str">
        <f>"00677165"</f>
        <v>00677165</v>
      </c>
    </row>
    <row r="2639" spans="1:2" x14ac:dyDescent="0.25">
      <c r="A2639" s="3">
        <v>2634</v>
      </c>
      <c r="B2639" s="3" t="str">
        <f>"00677174"</f>
        <v>00677174</v>
      </c>
    </row>
    <row r="2640" spans="1:2" x14ac:dyDescent="0.25">
      <c r="A2640" s="3">
        <v>2635</v>
      </c>
      <c r="B2640" s="3" t="str">
        <f>"00677180"</f>
        <v>00677180</v>
      </c>
    </row>
    <row r="2641" spans="1:2" x14ac:dyDescent="0.25">
      <c r="A2641" s="3">
        <v>2636</v>
      </c>
      <c r="B2641" s="3" t="str">
        <f>"00677230"</f>
        <v>00677230</v>
      </c>
    </row>
    <row r="2642" spans="1:2" x14ac:dyDescent="0.25">
      <c r="A2642" s="3">
        <v>2637</v>
      </c>
      <c r="B2642" s="3" t="str">
        <f>"00677254"</f>
        <v>00677254</v>
      </c>
    </row>
    <row r="2643" spans="1:2" x14ac:dyDescent="0.25">
      <c r="A2643" s="3">
        <v>2638</v>
      </c>
      <c r="B2643" s="3" t="str">
        <f>"00677273"</f>
        <v>00677273</v>
      </c>
    </row>
    <row r="2644" spans="1:2" x14ac:dyDescent="0.25">
      <c r="A2644" s="3">
        <v>2639</v>
      </c>
      <c r="B2644" s="3" t="str">
        <f>"00677295"</f>
        <v>00677295</v>
      </c>
    </row>
    <row r="2645" spans="1:2" x14ac:dyDescent="0.25">
      <c r="A2645" s="3">
        <v>2640</v>
      </c>
      <c r="B2645" s="3" t="str">
        <f>"00677299"</f>
        <v>00677299</v>
      </c>
    </row>
    <row r="2646" spans="1:2" x14ac:dyDescent="0.25">
      <c r="A2646" s="3">
        <v>2641</v>
      </c>
      <c r="B2646" s="3" t="str">
        <f>"00677304"</f>
        <v>00677304</v>
      </c>
    </row>
    <row r="2647" spans="1:2" x14ac:dyDescent="0.25">
      <c r="A2647" s="3">
        <v>2642</v>
      </c>
      <c r="B2647" s="3" t="str">
        <f>"00677362"</f>
        <v>00677362</v>
      </c>
    </row>
    <row r="2648" spans="1:2" x14ac:dyDescent="0.25">
      <c r="A2648" s="3">
        <v>2643</v>
      </c>
      <c r="B2648" s="3" t="str">
        <f>"00677368"</f>
        <v>00677368</v>
      </c>
    </row>
    <row r="2649" spans="1:2" x14ac:dyDescent="0.25">
      <c r="A2649" s="3">
        <v>2644</v>
      </c>
      <c r="B2649" s="3" t="str">
        <f>"00677371"</f>
        <v>00677371</v>
      </c>
    </row>
    <row r="2650" spans="1:2" x14ac:dyDescent="0.25">
      <c r="A2650" s="3">
        <v>2645</v>
      </c>
      <c r="B2650" s="3" t="str">
        <f>"00677383"</f>
        <v>00677383</v>
      </c>
    </row>
    <row r="2651" spans="1:2" x14ac:dyDescent="0.25">
      <c r="A2651" s="3">
        <v>2646</v>
      </c>
      <c r="B2651" s="3" t="str">
        <f>"00677395"</f>
        <v>00677395</v>
      </c>
    </row>
    <row r="2652" spans="1:2" x14ac:dyDescent="0.25">
      <c r="A2652" s="3">
        <v>2647</v>
      </c>
      <c r="B2652" s="3" t="str">
        <f>"00677408"</f>
        <v>00677408</v>
      </c>
    </row>
    <row r="2653" spans="1:2" x14ac:dyDescent="0.25">
      <c r="A2653" s="3">
        <v>2648</v>
      </c>
      <c r="B2653" s="3" t="str">
        <f>"00677414"</f>
        <v>00677414</v>
      </c>
    </row>
    <row r="2654" spans="1:2" x14ac:dyDescent="0.25">
      <c r="A2654" s="3">
        <v>2649</v>
      </c>
      <c r="B2654" s="3" t="str">
        <f>"00677478"</f>
        <v>00677478</v>
      </c>
    </row>
    <row r="2655" spans="1:2" x14ac:dyDescent="0.25">
      <c r="A2655" s="3">
        <v>2650</v>
      </c>
      <c r="B2655" s="3" t="str">
        <f>"00677499"</f>
        <v>00677499</v>
      </c>
    </row>
    <row r="2656" spans="1:2" x14ac:dyDescent="0.25">
      <c r="A2656" s="3">
        <v>2651</v>
      </c>
      <c r="B2656" s="3" t="str">
        <f>"00677515"</f>
        <v>00677515</v>
      </c>
    </row>
    <row r="2657" spans="1:2" x14ac:dyDescent="0.25">
      <c r="A2657" s="3">
        <v>2652</v>
      </c>
      <c r="B2657" s="3" t="str">
        <f>"00677580"</f>
        <v>00677580</v>
      </c>
    </row>
    <row r="2658" spans="1:2" x14ac:dyDescent="0.25">
      <c r="A2658" s="3">
        <v>2653</v>
      </c>
      <c r="B2658" s="3" t="str">
        <f>"00677583"</f>
        <v>00677583</v>
      </c>
    </row>
    <row r="2659" spans="1:2" x14ac:dyDescent="0.25">
      <c r="A2659" s="3">
        <v>2654</v>
      </c>
      <c r="B2659" s="3" t="str">
        <f>"00677658"</f>
        <v>00677658</v>
      </c>
    </row>
    <row r="2660" spans="1:2" x14ac:dyDescent="0.25">
      <c r="A2660" s="3">
        <v>2655</v>
      </c>
      <c r="B2660" s="3" t="str">
        <f>"00677676"</f>
        <v>00677676</v>
      </c>
    </row>
    <row r="2661" spans="1:2" x14ac:dyDescent="0.25">
      <c r="A2661" s="3">
        <v>2656</v>
      </c>
      <c r="B2661" s="3" t="str">
        <f>"00677678"</f>
        <v>00677678</v>
      </c>
    </row>
    <row r="2662" spans="1:2" x14ac:dyDescent="0.25">
      <c r="A2662" s="3">
        <v>2657</v>
      </c>
      <c r="B2662" s="3" t="str">
        <f>"00677698"</f>
        <v>00677698</v>
      </c>
    </row>
    <row r="2663" spans="1:2" x14ac:dyDescent="0.25">
      <c r="A2663" s="3">
        <v>2658</v>
      </c>
      <c r="B2663" s="3" t="str">
        <f>"00677715"</f>
        <v>00677715</v>
      </c>
    </row>
    <row r="2664" spans="1:2" x14ac:dyDescent="0.25">
      <c r="A2664" s="3">
        <v>2659</v>
      </c>
      <c r="B2664" s="3" t="str">
        <f>"00677764"</f>
        <v>00677764</v>
      </c>
    </row>
    <row r="2665" spans="1:2" x14ac:dyDescent="0.25">
      <c r="A2665" s="3">
        <v>2660</v>
      </c>
      <c r="B2665" s="3" t="str">
        <f>"00677774"</f>
        <v>00677774</v>
      </c>
    </row>
    <row r="2666" spans="1:2" x14ac:dyDescent="0.25">
      <c r="A2666" s="3">
        <v>2661</v>
      </c>
      <c r="B2666" s="3" t="str">
        <f>"00677789"</f>
        <v>00677789</v>
      </c>
    </row>
    <row r="2667" spans="1:2" x14ac:dyDescent="0.25">
      <c r="A2667" s="3">
        <v>2662</v>
      </c>
      <c r="B2667" s="3" t="str">
        <f>"00677928"</f>
        <v>00677928</v>
      </c>
    </row>
    <row r="2668" spans="1:2" x14ac:dyDescent="0.25">
      <c r="A2668" s="3">
        <v>2663</v>
      </c>
      <c r="B2668" s="3" t="str">
        <f>"00677963"</f>
        <v>00677963</v>
      </c>
    </row>
    <row r="2669" spans="1:2" x14ac:dyDescent="0.25">
      <c r="A2669" s="3">
        <v>2664</v>
      </c>
      <c r="B2669" s="3" t="str">
        <f>"00678005"</f>
        <v>00678005</v>
      </c>
    </row>
    <row r="2670" spans="1:2" x14ac:dyDescent="0.25">
      <c r="A2670" s="3">
        <v>2665</v>
      </c>
      <c r="B2670" s="3" t="str">
        <f>"00678023"</f>
        <v>00678023</v>
      </c>
    </row>
    <row r="2671" spans="1:2" x14ac:dyDescent="0.25">
      <c r="A2671" s="3">
        <v>2666</v>
      </c>
      <c r="B2671" s="3" t="str">
        <f>"00678026"</f>
        <v>00678026</v>
      </c>
    </row>
    <row r="2672" spans="1:2" x14ac:dyDescent="0.25">
      <c r="A2672" s="3">
        <v>2667</v>
      </c>
      <c r="B2672" s="3" t="str">
        <f>"00678029"</f>
        <v>00678029</v>
      </c>
    </row>
    <row r="2673" spans="1:2" x14ac:dyDescent="0.25">
      <c r="A2673" s="3">
        <v>2668</v>
      </c>
      <c r="B2673" s="3" t="str">
        <f>"00678038"</f>
        <v>00678038</v>
      </c>
    </row>
    <row r="2674" spans="1:2" x14ac:dyDescent="0.25">
      <c r="A2674" s="3">
        <v>2669</v>
      </c>
      <c r="B2674" s="3" t="str">
        <f>"00678107"</f>
        <v>00678107</v>
      </c>
    </row>
    <row r="2675" spans="1:2" x14ac:dyDescent="0.25">
      <c r="A2675" s="3">
        <v>2670</v>
      </c>
      <c r="B2675" s="3" t="str">
        <f>"00678125"</f>
        <v>00678125</v>
      </c>
    </row>
    <row r="2676" spans="1:2" x14ac:dyDescent="0.25">
      <c r="A2676" s="3">
        <v>2671</v>
      </c>
      <c r="B2676" s="3" t="str">
        <f>"00678132"</f>
        <v>00678132</v>
      </c>
    </row>
    <row r="2677" spans="1:2" x14ac:dyDescent="0.25">
      <c r="A2677" s="3">
        <v>2672</v>
      </c>
      <c r="B2677" s="3" t="str">
        <f>"00678211"</f>
        <v>00678211</v>
      </c>
    </row>
    <row r="2678" spans="1:2" x14ac:dyDescent="0.25">
      <c r="A2678" s="3">
        <v>2673</v>
      </c>
      <c r="B2678" s="3" t="str">
        <f>"00678220"</f>
        <v>00678220</v>
      </c>
    </row>
    <row r="2679" spans="1:2" x14ac:dyDescent="0.25">
      <c r="A2679" s="3">
        <v>2674</v>
      </c>
      <c r="B2679" s="3" t="str">
        <f>"00678265"</f>
        <v>00678265</v>
      </c>
    </row>
    <row r="2680" spans="1:2" x14ac:dyDescent="0.25">
      <c r="A2680" s="3">
        <v>2675</v>
      </c>
      <c r="B2680" s="3" t="str">
        <f>"00678298"</f>
        <v>00678298</v>
      </c>
    </row>
    <row r="2681" spans="1:2" x14ac:dyDescent="0.25">
      <c r="A2681" s="3">
        <v>2676</v>
      </c>
      <c r="B2681" s="3" t="str">
        <f>"00678300"</f>
        <v>00678300</v>
      </c>
    </row>
    <row r="2682" spans="1:2" x14ac:dyDescent="0.25">
      <c r="A2682" s="3">
        <v>2677</v>
      </c>
      <c r="B2682" s="3" t="str">
        <f>"00678320"</f>
        <v>00678320</v>
      </c>
    </row>
    <row r="2683" spans="1:2" x14ac:dyDescent="0.25">
      <c r="A2683" s="3">
        <v>2678</v>
      </c>
      <c r="B2683" s="3" t="str">
        <f>"00678376"</f>
        <v>00678376</v>
      </c>
    </row>
    <row r="2684" spans="1:2" x14ac:dyDescent="0.25">
      <c r="A2684" s="3">
        <v>2679</v>
      </c>
      <c r="B2684" s="3" t="str">
        <f>"00678399"</f>
        <v>00678399</v>
      </c>
    </row>
    <row r="2685" spans="1:2" x14ac:dyDescent="0.25">
      <c r="A2685" s="3">
        <v>2680</v>
      </c>
      <c r="B2685" s="3" t="str">
        <f>"00678477"</f>
        <v>00678477</v>
      </c>
    </row>
    <row r="2686" spans="1:2" x14ac:dyDescent="0.25">
      <c r="A2686" s="3">
        <v>2681</v>
      </c>
      <c r="B2686" s="3" t="str">
        <f>"00678508"</f>
        <v>00678508</v>
      </c>
    </row>
    <row r="2687" spans="1:2" x14ac:dyDescent="0.25">
      <c r="A2687" s="3">
        <v>2682</v>
      </c>
      <c r="B2687" s="3" t="str">
        <f>"00678551"</f>
        <v>00678551</v>
      </c>
    </row>
    <row r="2688" spans="1:2" x14ac:dyDescent="0.25">
      <c r="A2688" s="3">
        <v>2683</v>
      </c>
      <c r="B2688" s="3" t="str">
        <f>"00678567"</f>
        <v>00678567</v>
      </c>
    </row>
    <row r="2689" spans="1:2" x14ac:dyDescent="0.25">
      <c r="A2689" s="3">
        <v>2684</v>
      </c>
      <c r="B2689" s="3" t="str">
        <f>"00678585"</f>
        <v>00678585</v>
      </c>
    </row>
    <row r="2690" spans="1:2" x14ac:dyDescent="0.25">
      <c r="A2690" s="3">
        <v>2685</v>
      </c>
      <c r="B2690" s="3" t="str">
        <f>"00678689"</f>
        <v>00678689</v>
      </c>
    </row>
    <row r="2691" spans="1:2" x14ac:dyDescent="0.25">
      <c r="A2691" s="3">
        <v>2686</v>
      </c>
      <c r="B2691" s="3" t="str">
        <f>"00678691"</f>
        <v>00678691</v>
      </c>
    </row>
    <row r="2692" spans="1:2" x14ac:dyDescent="0.25">
      <c r="A2692" s="3">
        <v>2687</v>
      </c>
      <c r="B2692" s="3" t="str">
        <f>"00678717"</f>
        <v>00678717</v>
      </c>
    </row>
    <row r="2693" spans="1:2" x14ac:dyDescent="0.25">
      <c r="A2693" s="3">
        <v>2688</v>
      </c>
      <c r="B2693" s="3" t="str">
        <f>"00678725"</f>
        <v>00678725</v>
      </c>
    </row>
    <row r="2694" spans="1:2" x14ac:dyDescent="0.25">
      <c r="A2694" s="3">
        <v>2689</v>
      </c>
      <c r="B2694" s="3" t="str">
        <f>"00678744"</f>
        <v>00678744</v>
      </c>
    </row>
    <row r="2695" spans="1:2" x14ac:dyDescent="0.25">
      <c r="A2695" s="3">
        <v>2690</v>
      </c>
      <c r="B2695" s="3" t="str">
        <f>"00678849"</f>
        <v>00678849</v>
      </c>
    </row>
    <row r="2696" spans="1:2" x14ac:dyDescent="0.25">
      <c r="A2696" s="3">
        <v>2691</v>
      </c>
      <c r="B2696" s="3" t="str">
        <f>"00678869"</f>
        <v>00678869</v>
      </c>
    </row>
    <row r="2697" spans="1:2" x14ac:dyDescent="0.25">
      <c r="A2697" s="3">
        <v>2692</v>
      </c>
      <c r="B2697" s="3" t="str">
        <f>"00678908"</f>
        <v>00678908</v>
      </c>
    </row>
    <row r="2698" spans="1:2" x14ac:dyDescent="0.25">
      <c r="A2698" s="3">
        <v>2693</v>
      </c>
      <c r="B2698" s="3" t="str">
        <f>"00678944"</f>
        <v>00678944</v>
      </c>
    </row>
    <row r="2699" spans="1:2" x14ac:dyDescent="0.25">
      <c r="A2699" s="3">
        <v>2694</v>
      </c>
      <c r="B2699" s="3" t="str">
        <f>"00679000"</f>
        <v>00679000</v>
      </c>
    </row>
    <row r="2700" spans="1:2" x14ac:dyDescent="0.25">
      <c r="A2700" s="3">
        <v>2695</v>
      </c>
      <c r="B2700" s="3" t="str">
        <f>"00679056"</f>
        <v>00679056</v>
      </c>
    </row>
    <row r="2701" spans="1:2" x14ac:dyDescent="0.25">
      <c r="A2701" s="3">
        <v>2696</v>
      </c>
      <c r="B2701" s="3" t="str">
        <f>"00679065"</f>
        <v>00679065</v>
      </c>
    </row>
    <row r="2702" spans="1:2" x14ac:dyDescent="0.25">
      <c r="A2702" s="3">
        <v>2697</v>
      </c>
      <c r="B2702" s="3" t="str">
        <f>"00679140"</f>
        <v>00679140</v>
      </c>
    </row>
    <row r="2703" spans="1:2" x14ac:dyDescent="0.25">
      <c r="A2703" s="3">
        <v>2698</v>
      </c>
      <c r="B2703" s="3" t="str">
        <f>"00679162"</f>
        <v>00679162</v>
      </c>
    </row>
    <row r="2704" spans="1:2" x14ac:dyDescent="0.25">
      <c r="A2704" s="3">
        <v>2699</v>
      </c>
      <c r="B2704" s="3" t="str">
        <f>"00679245"</f>
        <v>00679245</v>
      </c>
    </row>
    <row r="2705" spans="1:2" x14ac:dyDescent="0.25">
      <c r="A2705" s="3">
        <v>2700</v>
      </c>
      <c r="B2705" s="3" t="str">
        <f>"00679264"</f>
        <v>00679264</v>
      </c>
    </row>
    <row r="2706" spans="1:2" x14ac:dyDescent="0.25">
      <c r="A2706" s="3">
        <v>2701</v>
      </c>
      <c r="B2706" s="3" t="str">
        <f>"00679285"</f>
        <v>00679285</v>
      </c>
    </row>
    <row r="2707" spans="1:2" x14ac:dyDescent="0.25">
      <c r="A2707" s="3">
        <v>2702</v>
      </c>
      <c r="B2707" s="3" t="str">
        <f>"00679339"</f>
        <v>00679339</v>
      </c>
    </row>
    <row r="2708" spans="1:2" x14ac:dyDescent="0.25">
      <c r="A2708" s="3">
        <v>2703</v>
      </c>
      <c r="B2708" s="3" t="str">
        <f>"00679352"</f>
        <v>00679352</v>
      </c>
    </row>
    <row r="2709" spans="1:2" x14ac:dyDescent="0.25">
      <c r="A2709" s="3">
        <v>2704</v>
      </c>
      <c r="B2709" s="3" t="str">
        <f>"00679409"</f>
        <v>00679409</v>
      </c>
    </row>
    <row r="2710" spans="1:2" x14ac:dyDescent="0.25">
      <c r="A2710" s="3">
        <v>2705</v>
      </c>
      <c r="B2710" s="3" t="str">
        <f>"00679436"</f>
        <v>00679436</v>
      </c>
    </row>
    <row r="2711" spans="1:2" x14ac:dyDescent="0.25">
      <c r="A2711" s="3">
        <v>2706</v>
      </c>
      <c r="B2711" s="3" t="str">
        <f>"00679443"</f>
        <v>00679443</v>
      </c>
    </row>
    <row r="2712" spans="1:2" x14ac:dyDescent="0.25">
      <c r="A2712" s="3">
        <v>2707</v>
      </c>
      <c r="B2712" s="3" t="str">
        <f>"00679521"</f>
        <v>00679521</v>
      </c>
    </row>
    <row r="2713" spans="1:2" x14ac:dyDescent="0.25">
      <c r="A2713" s="3">
        <v>2708</v>
      </c>
      <c r="B2713" s="3" t="str">
        <f>"00679558"</f>
        <v>00679558</v>
      </c>
    </row>
    <row r="2714" spans="1:2" x14ac:dyDescent="0.25">
      <c r="A2714" s="3">
        <v>2709</v>
      </c>
      <c r="B2714" s="3" t="str">
        <f>"00679620"</f>
        <v>00679620</v>
      </c>
    </row>
    <row r="2715" spans="1:2" x14ac:dyDescent="0.25">
      <c r="A2715" s="3">
        <v>2710</v>
      </c>
      <c r="B2715" s="3" t="str">
        <f>"00679662"</f>
        <v>00679662</v>
      </c>
    </row>
    <row r="2716" spans="1:2" x14ac:dyDescent="0.25">
      <c r="A2716" s="3">
        <v>2711</v>
      </c>
      <c r="B2716" s="3" t="str">
        <f>"00679702"</f>
        <v>00679702</v>
      </c>
    </row>
    <row r="2717" spans="1:2" x14ac:dyDescent="0.25">
      <c r="A2717" s="3">
        <v>2712</v>
      </c>
      <c r="B2717" s="3" t="str">
        <f>"00679713"</f>
        <v>00679713</v>
      </c>
    </row>
    <row r="2718" spans="1:2" x14ac:dyDescent="0.25">
      <c r="A2718" s="3">
        <v>2713</v>
      </c>
      <c r="B2718" s="3" t="str">
        <f>"00679717"</f>
        <v>00679717</v>
      </c>
    </row>
    <row r="2719" spans="1:2" x14ac:dyDescent="0.25">
      <c r="A2719" s="3">
        <v>2714</v>
      </c>
      <c r="B2719" s="3" t="str">
        <f>"00679814"</f>
        <v>00679814</v>
      </c>
    </row>
    <row r="2720" spans="1:2" x14ac:dyDescent="0.25">
      <c r="A2720" s="3">
        <v>2715</v>
      </c>
      <c r="B2720" s="3" t="str">
        <f>"00679817"</f>
        <v>00679817</v>
      </c>
    </row>
    <row r="2721" spans="1:2" x14ac:dyDescent="0.25">
      <c r="A2721" s="3">
        <v>2716</v>
      </c>
      <c r="B2721" s="3" t="str">
        <f>"00679819"</f>
        <v>00679819</v>
      </c>
    </row>
    <row r="2722" spans="1:2" x14ac:dyDescent="0.25">
      <c r="A2722" s="3">
        <v>2717</v>
      </c>
      <c r="B2722" s="3" t="str">
        <f>"00679820"</f>
        <v>00679820</v>
      </c>
    </row>
    <row r="2723" spans="1:2" x14ac:dyDescent="0.25">
      <c r="A2723" s="3">
        <v>2718</v>
      </c>
      <c r="B2723" s="3" t="str">
        <f>"00679847"</f>
        <v>00679847</v>
      </c>
    </row>
    <row r="2724" spans="1:2" x14ac:dyDescent="0.25">
      <c r="A2724" s="3">
        <v>2719</v>
      </c>
      <c r="B2724" s="3" t="str">
        <f>"00679931"</f>
        <v>00679931</v>
      </c>
    </row>
    <row r="2725" spans="1:2" x14ac:dyDescent="0.25">
      <c r="A2725" s="3">
        <v>2720</v>
      </c>
      <c r="B2725" s="3" t="str">
        <f>"00679935"</f>
        <v>00679935</v>
      </c>
    </row>
    <row r="2726" spans="1:2" x14ac:dyDescent="0.25">
      <c r="A2726" s="3">
        <v>2721</v>
      </c>
      <c r="B2726" s="3" t="str">
        <f>"00679947"</f>
        <v>00679947</v>
      </c>
    </row>
    <row r="2727" spans="1:2" x14ac:dyDescent="0.25">
      <c r="A2727" s="3">
        <v>2722</v>
      </c>
      <c r="B2727" s="3" t="str">
        <f>"00679997"</f>
        <v>00679997</v>
      </c>
    </row>
    <row r="2728" spans="1:2" x14ac:dyDescent="0.25">
      <c r="A2728" s="3">
        <v>2723</v>
      </c>
      <c r="B2728" s="3" t="str">
        <f>"00680015"</f>
        <v>00680015</v>
      </c>
    </row>
    <row r="2729" spans="1:2" x14ac:dyDescent="0.25">
      <c r="A2729" s="3">
        <v>2724</v>
      </c>
      <c r="B2729" s="3" t="str">
        <f>"00680087"</f>
        <v>00680087</v>
      </c>
    </row>
    <row r="2730" spans="1:2" x14ac:dyDescent="0.25">
      <c r="A2730" s="3">
        <v>2725</v>
      </c>
      <c r="B2730" s="3" t="str">
        <f>"00680096"</f>
        <v>00680096</v>
      </c>
    </row>
    <row r="2731" spans="1:2" x14ac:dyDescent="0.25">
      <c r="A2731" s="3">
        <v>2726</v>
      </c>
      <c r="B2731" s="3" t="str">
        <f>"00680176"</f>
        <v>00680176</v>
      </c>
    </row>
    <row r="2732" spans="1:2" x14ac:dyDescent="0.25">
      <c r="A2732" s="3">
        <v>2727</v>
      </c>
      <c r="B2732" s="3" t="str">
        <f>"00680194"</f>
        <v>00680194</v>
      </c>
    </row>
    <row r="2733" spans="1:2" x14ac:dyDescent="0.25">
      <c r="A2733" s="3">
        <v>2728</v>
      </c>
      <c r="B2733" s="3" t="str">
        <f>"00680257"</f>
        <v>00680257</v>
      </c>
    </row>
    <row r="2734" spans="1:2" x14ac:dyDescent="0.25">
      <c r="A2734" s="3">
        <v>2729</v>
      </c>
      <c r="B2734" s="3" t="str">
        <f>"00680282"</f>
        <v>00680282</v>
      </c>
    </row>
    <row r="2735" spans="1:2" x14ac:dyDescent="0.25">
      <c r="A2735" s="3">
        <v>2730</v>
      </c>
      <c r="B2735" s="3" t="str">
        <f>"00680347"</f>
        <v>00680347</v>
      </c>
    </row>
    <row r="2736" spans="1:2" x14ac:dyDescent="0.25">
      <c r="A2736" s="3">
        <v>2731</v>
      </c>
      <c r="B2736" s="3" t="str">
        <f>"00680403"</f>
        <v>00680403</v>
      </c>
    </row>
    <row r="2737" spans="1:2" x14ac:dyDescent="0.25">
      <c r="A2737" s="3">
        <v>2732</v>
      </c>
      <c r="B2737" s="3" t="str">
        <f>"00680448"</f>
        <v>00680448</v>
      </c>
    </row>
    <row r="2738" spans="1:2" x14ac:dyDescent="0.25">
      <c r="A2738" s="3">
        <v>2733</v>
      </c>
      <c r="B2738" s="3" t="str">
        <f>"00680450"</f>
        <v>00680450</v>
      </c>
    </row>
    <row r="2739" spans="1:2" x14ac:dyDescent="0.25">
      <c r="A2739" s="3">
        <v>2734</v>
      </c>
      <c r="B2739" s="3" t="str">
        <f>"00680495"</f>
        <v>00680495</v>
      </c>
    </row>
    <row r="2740" spans="1:2" x14ac:dyDescent="0.25">
      <c r="A2740" s="3">
        <v>2735</v>
      </c>
      <c r="B2740" s="3" t="str">
        <f>"00680503"</f>
        <v>00680503</v>
      </c>
    </row>
    <row r="2741" spans="1:2" x14ac:dyDescent="0.25">
      <c r="A2741" s="3">
        <v>2736</v>
      </c>
      <c r="B2741" s="3" t="str">
        <f>"00680566"</f>
        <v>00680566</v>
      </c>
    </row>
    <row r="2742" spans="1:2" x14ac:dyDescent="0.25">
      <c r="A2742" s="3">
        <v>2737</v>
      </c>
      <c r="B2742" s="3" t="str">
        <f>"00680586"</f>
        <v>00680586</v>
      </c>
    </row>
    <row r="2743" spans="1:2" x14ac:dyDescent="0.25">
      <c r="A2743" s="3">
        <v>2738</v>
      </c>
      <c r="B2743" s="3" t="str">
        <f>"00680598"</f>
        <v>00680598</v>
      </c>
    </row>
    <row r="2744" spans="1:2" x14ac:dyDescent="0.25">
      <c r="A2744" s="3">
        <v>2739</v>
      </c>
      <c r="B2744" s="3" t="str">
        <f>"00680634"</f>
        <v>00680634</v>
      </c>
    </row>
    <row r="2745" spans="1:2" x14ac:dyDescent="0.25">
      <c r="A2745" s="3">
        <v>2740</v>
      </c>
      <c r="B2745" s="3" t="str">
        <f>"00680656"</f>
        <v>00680656</v>
      </c>
    </row>
    <row r="2746" spans="1:2" x14ac:dyDescent="0.25">
      <c r="A2746" s="3">
        <v>2741</v>
      </c>
      <c r="B2746" s="3" t="str">
        <f>"00680662"</f>
        <v>00680662</v>
      </c>
    </row>
    <row r="2747" spans="1:2" x14ac:dyDescent="0.25">
      <c r="A2747" s="3">
        <v>2742</v>
      </c>
      <c r="B2747" s="3" t="str">
        <f>"00680700"</f>
        <v>00680700</v>
      </c>
    </row>
    <row r="2748" spans="1:2" x14ac:dyDescent="0.25">
      <c r="A2748" s="3">
        <v>2743</v>
      </c>
      <c r="B2748" s="3" t="str">
        <f>"00680702"</f>
        <v>00680702</v>
      </c>
    </row>
    <row r="2749" spans="1:2" x14ac:dyDescent="0.25">
      <c r="A2749" s="3">
        <v>2744</v>
      </c>
      <c r="B2749" s="3" t="str">
        <f>"00680705"</f>
        <v>00680705</v>
      </c>
    </row>
    <row r="2750" spans="1:2" x14ac:dyDescent="0.25">
      <c r="A2750" s="3">
        <v>2745</v>
      </c>
      <c r="B2750" s="3" t="str">
        <f>"00680714"</f>
        <v>00680714</v>
      </c>
    </row>
    <row r="2751" spans="1:2" x14ac:dyDescent="0.25">
      <c r="A2751" s="3">
        <v>2746</v>
      </c>
      <c r="B2751" s="3" t="str">
        <f>"00680750"</f>
        <v>00680750</v>
      </c>
    </row>
    <row r="2752" spans="1:2" x14ac:dyDescent="0.25">
      <c r="A2752" s="3">
        <v>2747</v>
      </c>
      <c r="B2752" s="3" t="str">
        <f>"00680825"</f>
        <v>00680825</v>
      </c>
    </row>
    <row r="2753" spans="1:2" x14ac:dyDescent="0.25">
      <c r="A2753" s="3">
        <v>2748</v>
      </c>
      <c r="B2753" s="3" t="str">
        <f>"00680935"</f>
        <v>00680935</v>
      </c>
    </row>
    <row r="2754" spans="1:2" x14ac:dyDescent="0.25">
      <c r="A2754" s="3">
        <v>2749</v>
      </c>
      <c r="B2754" s="3" t="str">
        <f>"00680940"</f>
        <v>00680940</v>
      </c>
    </row>
    <row r="2755" spans="1:2" x14ac:dyDescent="0.25">
      <c r="A2755" s="3">
        <v>2750</v>
      </c>
      <c r="B2755" s="3" t="str">
        <f>"00680964"</f>
        <v>00680964</v>
      </c>
    </row>
    <row r="2756" spans="1:2" x14ac:dyDescent="0.25">
      <c r="A2756" s="3">
        <v>2751</v>
      </c>
      <c r="B2756" s="3" t="str">
        <f>"00680992"</f>
        <v>00680992</v>
      </c>
    </row>
    <row r="2757" spans="1:2" x14ac:dyDescent="0.25">
      <c r="A2757" s="3">
        <v>2752</v>
      </c>
      <c r="B2757" s="3" t="str">
        <f>"00681028"</f>
        <v>00681028</v>
      </c>
    </row>
    <row r="2758" spans="1:2" x14ac:dyDescent="0.25">
      <c r="A2758" s="3">
        <v>2753</v>
      </c>
      <c r="B2758" s="3" t="str">
        <f>"00681081"</f>
        <v>00681081</v>
      </c>
    </row>
    <row r="2759" spans="1:2" x14ac:dyDescent="0.25">
      <c r="A2759" s="3">
        <v>2754</v>
      </c>
      <c r="B2759" s="3" t="str">
        <f>"00681114"</f>
        <v>00681114</v>
      </c>
    </row>
    <row r="2760" spans="1:2" x14ac:dyDescent="0.25">
      <c r="A2760" s="3">
        <v>2755</v>
      </c>
      <c r="B2760" s="3" t="str">
        <f>"00681205"</f>
        <v>00681205</v>
      </c>
    </row>
    <row r="2761" spans="1:2" x14ac:dyDescent="0.25">
      <c r="A2761" s="3">
        <v>2756</v>
      </c>
      <c r="B2761" s="3" t="str">
        <f>"00681216"</f>
        <v>00681216</v>
      </c>
    </row>
    <row r="2762" spans="1:2" x14ac:dyDescent="0.25">
      <c r="A2762" s="3">
        <v>2757</v>
      </c>
      <c r="B2762" s="3" t="str">
        <f>"00681225"</f>
        <v>00681225</v>
      </c>
    </row>
    <row r="2763" spans="1:2" x14ac:dyDescent="0.25">
      <c r="A2763" s="3">
        <v>2758</v>
      </c>
      <c r="B2763" s="3" t="str">
        <f>"00681227"</f>
        <v>00681227</v>
      </c>
    </row>
    <row r="2764" spans="1:2" x14ac:dyDescent="0.25">
      <c r="A2764" s="3">
        <v>2759</v>
      </c>
      <c r="B2764" s="3" t="str">
        <f>"00681256"</f>
        <v>00681256</v>
      </c>
    </row>
    <row r="2765" spans="1:2" x14ac:dyDescent="0.25">
      <c r="A2765" s="3">
        <v>2760</v>
      </c>
      <c r="B2765" s="3" t="str">
        <f>"00681283"</f>
        <v>00681283</v>
      </c>
    </row>
    <row r="2766" spans="1:2" x14ac:dyDescent="0.25">
      <c r="A2766" s="3">
        <v>2761</v>
      </c>
      <c r="B2766" s="3" t="str">
        <f>"00681331"</f>
        <v>00681331</v>
      </c>
    </row>
    <row r="2767" spans="1:2" x14ac:dyDescent="0.25">
      <c r="A2767" s="3">
        <v>2762</v>
      </c>
      <c r="B2767" s="3" t="str">
        <f>"00681402"</f>
        <v>00681402</v>
      </c>
    </row>
    <row r="2768" spans="1:2" x14ac:dyDescent="0.25">
      <c r="A2768" s="3">
        <v>2763</v>
      </c>
      <c r="B2768" s="3" t="str">
        <f>"00681418"</f>
        <v>00681418</v>
      </c>
    </row>
    <row r="2769" spans="1:2" x14ac:dyDescent="0.25">
      <c r="A2769" s="3">
        <v>2764</v>
      </c>
      <c r="B2769" s="3" t="str">
        <f>"00681456"</f>
        <v>00681456</v>
      </c>
    </row>
    <row r="2770" spans="1:2" x14ac:dyDescent="0.25">
      <c r="A2770" s="3">
        <v>2765</v>
      </c>
      <c r="B2770" s="3" t="str">
        <f>"00681504"</f>
        <v>00681504</v>
      </c>
    </row>
    <row r="2771" spans="1:2" x14ac:dyDescent="0.25">
      <c r="A2771" s="3">
        <v>2766</v>
      </c>
      <c r="B2771" s="3" t="str">
        <f>"00681524"</f>
        <v>00681524</v>
      </c>
    </row>
    <row r="2772" spans="1:2" x14ac:dyDescent="0.25">
      <c r="A2772" s="3">
        <v>2767</v>
      </c>
      <c r="B2772" s="3" t="str">
        <f>"00681558"</f>
        <v>00681558</v>
      </c>
    </row>
    <row r="2773" spans="1:2" x14ac:dyDescent="0.25">
      <c r="A2773" s="3">
        <v>2768</v>
      </c>
      <c r="B2773" s="3" t="str">
        <f>"00681640"</f>
        <v>00681640</v>
      </c>
    </row>
    <row r="2774" spans="1:2" x14ac:dyDescent="0.25">
      <c r="A2774" s="3">
        <v>2769</v>
      </c>
      <c r="B2774" s="3" t="str">
        <f>"00681661"</f>
        <v>00681661</v>
      </c>
    </row>
    <row r="2775" spans="1:2" x14ac:dyDescent="0.25">
      <c r="A2775" s="3">
        <v>2770</v>
      </c>
      <c r="B2775" s="3" t="str">
        <f>"00681664"</f>
        <v>00681664</v>
      </c>
    </row>
    <row r="2776" spans="1:2" x14ac:dyDescent="0.25">
      <c r="A2776" s="3">
        <v>2771</v>
      </c>
      <c r="B2776" s="3" t="str">
        <f>"00681670"</f>
        <v>00681670</v>
      </c>
    </row>
    <row r="2777" spans="1:2" x14ac:dyDescent="0.25">
      <c r="A2777" s="3">
        <v>2772</v>
      </c>
      <c r="B2777" s="3" t="str">
        <f>"00681698"</f>
        <v>00681698</v>
      </c>
    </row>
    <row r="2778" spans="1:2" x14ac:dyDescent="0.25">
      <c r="A2778" s="3">
        <v>2773</v>
      </c>
      <c r="B2778" s="3" t="str">
        <f>"00681786"</f>
        <v>00681786</v>
      </c>
    </row>
    <row r="2779" spans="1:2" x14ac:dyDescent="0.25">
      <c r="A2779" s="3">
        <v>2774</v>
      </c>
      <c r="B2779" s="3" t="str">
        <f>"00681791"</f>
        <v>00681791</v>
      </c>
    </row>
    <row r="2780" spans="1:2" x14ac:dyDescent="0.25">
      <c r="A2780" s="3">
        <v>2775</v>
      </c>
      <c r="B2780" s="3" t="str">
        <f>"00681846"</f>
        <v>00681846</v>
      </c>
    </row>
    <row r="2781" spans="1:2" x14ac:dyDescent="0.25">
      <c r="A2781" s="3">
        <v>2776</v>
      </c>
      <c r="B2781" s="3" t="str">
        <f>"00681868"</f>
        <v>00681868</v>
      </c>
    </row>
    <row r="2782" spans="1:2" x14ac:dyDescent="0.25">
      <c r="A2782" s="3">
        <v>2777</v>
      </c>
      <c r="B2782" s="3" t="str">
        <f>"00681872"</f>
        <v>00681872</v>
      </c>
    </row>
    <row r="2783" spans="1:2" x14ac:dyDescent="0.25">
      <c r="A2783" s="3">
        <v>2778</v>
      </c>
      <c r="B2783" s="3" t="str">
        <f>"00682164"</f>
        <v>00682164</v>
      </c>
    </row>
    <row r="2784" spans="1:2" x14ac:dyDescent="0.25">
      <c r="A2784" s="3">
        <v>2779</v>
      </c>
      <c r="B2784" s="3" t="str">
        <f>"00682276"</f>
        <v>00682276</v>
      </c>
    </row>
    <row r="2785" spans="1:2" x14ac:dyDescent="0.25">
      <c r="A2785" s="3">
        <v>2780</v>
      </c>
      <c r="B2785" s="3" t="str">
        <f>"00682307"</f>
        <v>00682307</v>
      </c>
    </row>
    <row r="2786" spans="1:2" x14ac:dyDescent="0.25">
      <c r="A2786" s="3">
        <v>2781</v>
      </c>
      <c r="B2786" s="3" t="str">
        <f>"00682349"</f>
        <v>00682349</v>
      </c>
    </row>
    <row r="2787" spans="1:2" x14ac:dyDescent="0.25">
      <c r="A2787" s="3">
        <v>2782</v>
      </c>
      <c r="B2787" s="3" t="str">
        <f>"00682365"</f>
        <v>00682365</v>
      </c>
    </row>
    <row r="2788" spans="1:2" x14ac:dyDescent="0.25">
      <c r="A2788" s="3">
        <v>2783</v>
      </c>
      <c r="B2788" s="3" t="str">
        <f>"00682368"</f>
        <v>00682368</v>
      </c>
    </row>
    <row r="2789" spans="1:2" x14ac:dyDescent="0.25">
      <c r="A2789" s="3">
        <v>2784</v>
      </c>
      <c r="B2789" s="3" t="str">
        <f>"00682425"</f>
        <v>00682425</v>
      </c>
    </row>
    <row r="2790" spans="1:2" x14ac:dyDescent="0.25">
      <c r="A2790" s="3">
        <v>2785</v>
      </c>
      <c r="B2790" s="3" t="str">
        <f>"00682434"</f>
        <v>00682434</v>
      </c>
    </row>
    <row r="2791" spans="1:2" x14ac:dyDescent="0.25">
      <c r="A2791" s="3">
        <v>2786</v>
      </c>
      <c r="B2791" s="3" t="str">
        <f>"00682478"</f>
        <v>00682478</v>
      </c>
    </row>
    <row r="2792" spans="1:2" x14ac:dyDescent="0.25">
      <c r="A2792" s="3">
        <v>2787</v>
      </c>
      <c r="B2792" s="3" t="str">
        <f>"00682483"</f>
        <v>00682483</v>
      </c>
    </row>
    <row r="2793" spans="1:2" x14ac:dyDescent="0.25">
      <c r="A2793" s="3">
        <v>2788</v>
      </c>
      <c r="B2793" s="3" t="str">
        <f>"00682539"</f>
        <v>00682539</v>
      </c>
    </row>
    <row r="2794" spans="1:2" x14ac:dyDescent="0.25">
      <c r="A2794" s="3">
        <v>2789</v>
      </c>
      <c r="B2794" s="3" t="str">
        <f>"00682640"</f>
        <v>00682640</v>
      </c>
    </row>
    <row r="2795" spans="1:2" x14ac:dyDescent="0.25">
      <c r="A2795" s="3">
        <v>2790</v>
      </c>
      <c r="B2795" s="3" t="str">
        <f>"00682650"</f>
        <v>00682650</v>
      </c>
    </row>
    <row r="2796" spans="1:2" x14ac:dyDescent="0.25">
      <c r="A2796" s="3">
        <v>2791</v>
      </c>
      <c r="B2796" s="3" t="str">
        <f>"00682859"</f>
        <v>00682859</v>
      </c>
    </row>
    <row r="2797" spans="1:2" x14ac:dyDescent="0.25">
      <c r="A2797" s="3">
        <v>2792</v>
      </c>
      <c r="B2797" s="3" t="str">
        <f>"00682920"</f>
        <v>00682920</v>
      </c>
    </row>
    <row r="2798" spans="1:2" x14ac:dyDescent="0.25">
      <c r="A2798" s="3">
        <v>2793</v>
      </c>
      <c r="B2798" s="3" t="str">
        <f>"00682942"</f>
        <v>00682942</v>
      </c>
    </row>
    <row r="2799" spans="1:2" x14ac:dyDescent="0.25">
      <c r="A2799" s="3">
        <v>2794</v>
      </c>
      <c r="B2799" s="3" t="str">
        <f>"00682950"</f>
        <v>00682950</v>
      </c>
    </row>
    <row r="2800" spans="1:2" x14ac:dyDescent="0.25">
      <c r="A2800" s="3">
        <v>2795</v>
      </c>
      <c r="B2800" s="3" t="str">
        <f>"00682971"</f>
        <v>00682971</v>
      </c>
    </row>
    <row r="2801" spans="1:2" x14ac:dyDescent="0.25">
      <c r="A2801" s="3">
        <v>2796</v>
      </c>
      <c r="B2801" s="3" t="str">
        <f>"00683032"</f>
        <v>00683032</v>
      </c>
    </row>
    <row r="2802" spans="1:2" x14ac:dyDescent="0.25">
      <c r="A2802" s="3">
        <v>2797</v>
      </c>
      <c r="B2802" s="3" t="str">
        <f>"00683168"</f>
        <v>00683168</v>
      </c>
    </row>
    <row r="2803" spans="1:2" x14ac:dyDescent="0.25">
      <c r="A2803" s="3">
        <v>2798</v>
      </c>
      <c r="B2803" s="3" t="str">
        <f>"00683173"</f>
        <v>00683173</v>
      </c>
    </row>
    <row r="2804" spans="1:2" x14ac:dyDescent="0.25">
      <c r="A2804" s="3">
        <v>2799</v>
      </c>
      <c r="B2804" s="3" t="str">
        <f>"00683234"</f>
        <v>00683234</v>
      </c>
    </row>
    <row r="2805" spans="1:2" x14ac:dyDescent="0.25">
      <c r="A2805" s="3">
        <v>2800</v>
      </c>
      <c r="B2805" s="3" t="str">
        <f>"00683269"</f>
        <v>00683269</v>
      </c>
    </row>
    <row r="2806" spans="1:2" x14ac:dyDescent="0.25">
      <c r="A2806" s="3">
        <v>2801</v>
      </c>
      <c r="B2806" s="3" t="str">
        <f>"00683397"</f>
        <v>00683397</v>
      </c>
    </row>
    <row r="2807" spans="1:2" x14ac:dyDescent="0.25">
      <c r="A2807" s="3">
        <v>2802</v>
      </c>
      <c r="B2807" s="3" t="str">
        <f>"00683414"</f>
        <v>00683414</v>
      </c>
    </row>
    <row r="2808" spans="1:2" x14ac:dyDescent="0.25">
      <c r="A2808" s="3">
        <v>2803</v>
      </c>
      <c r="B2808" s="3" t="str">
        <f>"00683471"</f>
        <v>00683471</v>
      </c>
    </row>
    <row r="2809" spans="1:2" x14ac:dyDescent="0.25">
      <c r="A2809" s="3">
        <v>2804</v>
      </c>
      <c r="B2809" s="3" t="str">
        <f>"00683474"</f>
        <v>00683474</v>
      </c>
    </row>
    <row r="2810" spans="1:2" x14ac:dyDescent="0.25">
      <c r="A2810" s="3">
        <v>2805</v>
      </c>
      <c r="B2810" s="3" t="str">
        <f>"00683481"</f>
        <v>00683481</v>
      </c>
    </row>
    <row r="2811" spans="1:2" x14ac:dyDescent="0.25">
      <c r="A2811" s="3">
        <v>2806</v>
      </c>
      <c r="B2811" s="3" t="str">
        <f>"00683513"</f>
        <v>00683513</v>
      </c>
    </row>
    <row r="2812" spans="1:2" x14ac:dyDescent="0.25">
      <c r="A2812" s="3">
        <v>2807</v>
      </c>
      <c r="B2812" s="3" t="str">
        <f>"00683523"</f>
        <v>00683523</v>
      </c>
    </row>
    <row r="2813" spans="1:2" x14ac:dyDescent="0.25">
      <c r="A2813" s="3">
        <v>2808</v>
      </c>
      <c r="B2813" s="3" t="str">
        <f>"00683531"</f>
        <v>00683531</v>
      </c>
    </row>
    <row r="2814" spans="1:2" x14ac:dyDescent="0.25">
      <c r="A2814" s="3">
        <v>2809</v>
      </c>
      <c r="B2814" s="3" t="str">
        <f>"00683581"</f>
        <v>00683581</v>
      </c>
    </row>
    <row r="2815" spans="1:2" x14ac:dyDescent="0.25">
      <c r="A2815" s="3">
        <v>2810</v>
      </c>
      <c r="B2815" s="3" t="str">
        <f>"00683680"</f>
        <v>00683680</v>
      </c>
    </row>
    <row r="2816" spans="1:2" x14ac:dyDescent="0.25">
      <c r="A2816" s="3">
        <v>2811</v>
      </c>
      <c r="B2816" s="3" t="str">
        <f>"00683691"</f>
        <v>00683691</v>
      </c>
    </row>
    <row r="2817" spans="1:2" x14ac:dyDescent="0.25">
      <c r="A2817" s="3">
        <v>2812</v>
      </c>
      <c r="B2817" s="3" t="str">
        <f>"00683725"</f>
        <v>00683725</v>
      </c>
    </row>
    <row r="2818" spans="1:2" x14ac:dyDescent="0.25">
      <c r="A2818" s="3">
        <v>2813</v>
      </c>
      <c r="B2818" s="3" t="str">
        <f>"00683808"</f>
        <v>00683808</v>
      </c>
    </row>
    <row r="2819" spans="1:2" x14ac:dyDescent="0.25">
      <c r="A2819" s="3">
        <v>2814</v>
      </c>
      <c r="B2819" s="3" t="str">
        <f>"00683897"</f>
        <v>00683897</v>
      </c>
    </row>
    <row r="2820" spans="1:2" x14ac:dyDescent="0.25">
      <c r="A2820" s="3">
        <v>2815</v>
      </c>
      <c r="B2820" s="3" t="str">
        <f>"00683905"</f>
        <v>00683905</v>
      </c>
    </row>
    <row r="2821" spans="1:2" x14ac:dyDescent="0.25">
      <c r="A2821" s="3">
        <v>2816</v>
      </c>
      <c r="B2821" s="3" t="str">
        <f>"00683999"</f>
        <v>00683999</v>
      </c>
    </row>
    <row r="2822" spans="1:2" x14ac:dyDescent="0.25">
      <c r="A2822" s="3">
        <v>2817</v>
      </c>
      <c r="B2822" s="3" t="str">
        <f>"00684016"</f>
        <v>00684016</v>
      </c>
    </row>
    <row r="2823" spans="1:2" x14ac:dyDescent="0.25">
      <c r="A2823" s="3">
        <v>2818</v>
      </c>
      <c r="B2823" s="3" t="str">
        <f>"00684068"</f>
        <v>00684068</v>
      </c>
    </row>
    <row r="2824" spans="1:2" x14ac:dyDescent="0.25">
      <c r="A2824" s="3">
        <v>2819</v>
      </c>
      <c r="B2824" s="3" t="str">
        <f>"00684109"</f>
        <v>00684109</v>
      </c>
    </row>
    <row r="2825" spans="1:2" x14ac:dyDescent="0.25">
      <c r="A2825" s="3">
        <v>2820</v>
      </c>
      <c r="B2825" s="3" t="str">
        <f>"00684200"</f>
        <v>00684200</v>
      </c>
    </row>
    <row r="2826" spans="1:2" x14ac:dyDescent="0.25">
      <c r="A2826" s="3">
        <v>2821</v>
      </c>
      <c r="B2826" s="3" t="str">
        <f>"00684366"</f>
        <v>00684366</v>
      </c>
    </row>
    <row r="2827" spans="1:2" x14ac:dyDescent="0.25">
      <c r="A2827" s="3">
        <v>2822</v>
      </c>
      <c r="B2827" s="3" t="str">
        <f>"00684410"</f>
        <v>00684410</v>
      </c>
    </row>
    <row r="2828" spans="1:2" x14ac:dyDescent="0.25">
      <c r="A2828" s="3">
        <v>2823</v>
      </c>
      <c r="B2828" s="3" t="str">
        <f>"00684502"</f>
        <v>00684502</v>
      </c>
    </row>
    <row r="2829" spans="1:2" x14ac:dyDescent="0.25">
      <c r="A2829" s="3">
        <v>2824</v>
      </c>
      <c r="B2829" s="3" t="str">
        <f>"00684553"</f>
        <v>00684553</v>
      </c>
    </row>
    <row r="2830" spans="1:2" x14ac:dyDescent="0.25">
      <c r="A2830" s="3">
        <v>2825</v>
      </c>
      <c r="B2830" s="3" t="str">
        <f>"00684625"</f>
        <v>00684625</v>
      </c>
    </row>
    <row r="2831" spans="1:2" x14ac:dyDescent="0.25">
      <c r="A2831" s="3">
        <v>2826</v>
      </c>
      <c r="B2831" s="3" t="str">
        <f>"00684725"</f>
        <v>00684725</v>
      </c>
    </row>
    <row r="2832" spans="1:2" x14ac:dyDescent="0.25">
      <c r="A2832" s="3">
        <v>2827</v>
      </c>
      <c r="B2832" s="3" t="str">
        <f>"00684992"</f>
        <v>00684992</v>
      </c>
    </row>
    <row r="2833" spans="1:2" x14ac:dyDescent="0.25">
      <c r="A2833" s="3">
        <v>2828</v>
      </c>
      <c r="B2833" s="3" t="str">
        <f>"00685463"</f>
        <v>00685463</v>
      </c>
    </row>
    <row r="2834" spans="1:2" x14ac:dyDescent="0.25">
      <c r="A2834" s="3">
        <v>2829</v>
      </c>
      <c r="B2834" s="3" t="str">
        <f>"00685686"</f>
        <v>00685686</v>
      </c>
    </row>
    <row r="2835" spans="1:2" x14ac:dyDescent="0.25">
      <c r="A2835" s="3">
        <v>2830</v>
      </c>
      <c r="B2835" s="3" t="str">
        <f>"00685910"</f>
        <v>00685910</v>
      </c>
    </row>
    <row r="2836" spans="1:2" x14ac:dyDescent="0.25">
      <c r="A2836" s="3">
        <v>2831</v>
      </c>
      <c r="B2836" s="3" t="str">
        <f>"00686584"</f>
        <v>00686584</v>
      </c>
    </row>
    <row r="2837" spans="1:2" x14ac:dyDescent="0.25">
      <c r="A2837" s="3">
        <v>2832</v>
      </c>
      <c r="B2837" s="3" t="str">
        <f>"00686791"</f>
        <v>00686791</v>
      </c>
    </row>
    <row r="2838" spans="1:2" x14ac:dyDescent="0.25">
      <c r="A2838" s="3">
        <v>2833</v>
      </c>
      <c r="B2838" s="3" t="str">
        <f>"00686850"</f>
        <v>00686850</v>
      </c>
    </row>
    <row r="2839" spans="1:2" x14ac:dyDescent="0.25">
      <c r="A2839" s="3">
        <v>2834</v>
      </c>
      <c r="B2839" s="3" t="str">
        <f>"00687445"</f>
        <v>00687445</v>
      </c>
    </row>
    <row r="2840" spans="1:2" x14ac:dyDescent="0.25">
      <c r="A2840" s="3">
        <v>2835</v>
      </c>
      <c r="B2840" s="3" t="str">
        <f>"00687519"</f>
        <v>00687519</v>
      </c>
    </row>
    <row r="2841" spans="1:2" x14ac:dyDescent="0.25">
      <c r="A2841" s="3">
        <v>2836</v>
      </c>
      <c r="B2841" s="3" t="str">
        <f>"00687596"</f>
        <v>00687596</v>
      </c>
    </row>
    <row r="2842" spans="1:2" x14ac:dyDescent="0.25">
      <c r="A2842" s="3">
        <v>2837</v>
      </c>
      <c r="B2842" s="3" t="str">
        <f>"00688034"</f>
        <v>00688034</v>
      </c>
    </row>
    <row r="2843" spans="1:2" x14ac:dyDescent="0.25">
      <c r="A2843" s="3">
        <v>2838</v>
      </c>
      <c r="B2843" s="3" t="str">
        <f>"00688051"</f>
        <v>00688051</v>
      </c>
    </row>
    <row r="2844" spans="1:2" x14ac:dyDescent="0.25">
      <c r="A2844" s="3">
        <v>2839</v>
      </c>
      <c r="B2844" s="3" t="str">
        <f>"00688133"</f>
        <v>00688133</v>
      </c>
    </row>
    <row r="2845" spans="1:2" x14ac:dyDescent="0.25">
      <c r="A2845" s="3">
        <v>2840</v>
      </c>
      <c r="B2845" s="3" t="str">
        <f>"00688226"</f>
        <v>00688226</v>
      </c>
    </row>
    <row r="2846" spans="1:2" x14ac:dyDescent="0.25">
      <c r="A2846" s="3">
        <v>2841</v>
      </c>
      <c r="B2846" s="3" t="str">
        <f>"00688708"</f>
        <v>00688708</v>
      </c>
    </row>
    <row r="2847" spans="1:2" x14ac:dyDescent="0.25">
      <c r="A2847" s="3">
        <v>2842</v>
      </c>
      <c r="B2847" s="3" t="str">
        <f>"00689490"</f>
        <v>00689490</v>
      </c>
    </row>
    <row r="2848" spans="1:2" x14ac:dyDescent="0.25">
      <c r="A2848" s="3">
        <v>2843</v>
      </c>
      <c r="B2848" s="3" t="str">
        <f>"00689577"</f>
        <v>00689577</v>
      </c>
    </row>
    <row r="2849" spans="1:2" x14ac:dyDescent="0.25">
      <c r="A2849" s="3">
        <v>2844</v>
      </c>
      <c r="B2849" s="3" t="str">
        <f>"00689744"</f>
        <v>00689744</v>
      </c>
    </row>
    <row r="2850" spans="1:2" x14ac:dyDescent="0.25">
      <c r="A2850" s="3">
        <v>2845</v>
      </c>
      <c r="B2850" s="3" t="str">
        <f>"00689853"</f>
        <v>00689853</v>
      </c>
    </row>
    <row r="2851" spans="1:2" x14ac:dyDescent="0.25">
      <c r="A2851" s="3">
        <v>2846</v>
      </c>
      <c r="B2851" s="3" t="str">
        <f>"00689951"</f>
        <v>00689951</v>
      </c>
    </row>
    <row r="2852" spans="1:2" x14ac:dyDescent="0.25">
      <c r="A2852" s="3">
        <v>2847</v>
      </c>
      <c r="B2852" s="3" t="str">
        <f>"00690069"</f>
        <v>00690069</v>
      </c>
    </row>
    <row r="2853" spans="1:2" x14ac:dyDescent="0.25">
      <c r="A2853" s="3">
        <v>2848</v>
      </c>
      <c r="B2853" s="3" t="str">
        <f>"00690117"</f>
        <v>00690117</v>
      </c>
    </row>
    <row r="2854" spans="1:2" x14ac:dyDescent="0.25">
      <c r="A2854" s="3">
        <v>2849</v>
      </c>
      <c r="B2854" s="3" t="str">
        <f>"00690384"</f>
        <v>00690384</v>
      </c>
    </row>
    <row r="2855" spans="1:2" x14ac:dyDescent="0.25">
      <c r="A2855" s="3">
        <v>2850</v>
      </c>
      <c r="B2855" s="3" t="str">
        <f>"00690535"</f>
        <v>00690535</v>
      </c>
    </row>
    <row r="2856" spans="1:2" x14ac:dyDescent="0.25">
      <c r="A2856" s="3">
        <v>2851</v>
      </c>
      <c r="B2856" s="3" t="str">
        <f>"00690730"</f>
        <v>00690730</v>
      </c>
    </row>
    <row r="2857" spans="1:2" x14ac:dyDescent="0.25">
      <c r="A2857" s="3">
        <v>2852</v>
      </c>
      <c r="B2857" s="3" t="str">
        <f>"00690876"</f>
        <v>00690876</v>
      </c>
    </row>
    <row r="2858" spans="1:2" x14ac:dyDescent="0.25">
      <c r="A2858" s="3">
        <v>2853</v>
      </c>
      <c r="B2858" s="3" t="str">
        <f>"00690911"</f>
        <v>00690911</v>
      </c>
    </row>
    <row r="2859" spans="1:2" x14ac:dyDescent="0.25">
      <c r="A2859" s="3">
        <v>2854</v>
      </c>
      <c r="B2859" s="3" t="str">
        <f>"00690925"</f>
        <v>00690925</v>
      </c>
    </row>
    <row r="2860" spans="1:2" x14ac:dyDescent="0.25">
      <c r="A2860" s="3">
        <v>2855</v>
      </c>
      <c r="B2860" s="3" t="str">
        <f>"00691997"</f>
        <v>00691997</v>
      </c>
    </row>
    <row r="2861" spans="1:2" x14ac:dyDescent="0.25">
      <c r="A2861" s="3">
        <v>2856</v>
      </c>
      <c r="B2861" s="3" t="str">
        <f>"00692319"</f>
        <v>00692319</v>
      </c>
    </row>
    <row r="2862" spans="1:2" x14ac:dyDescent="0.25">
      <c r="A2862" s="3">
        <v>2857</v>
      </c>
      <c r="B2862" s="3" t="str">
        <f>"200712000093"</f>
        <v>200712000093</v>
      </c>
    </row>
    <row r="2863" spans="1:2" x14ac:dyDescent="0.25">
      <c r="A2863" s="3">
        <v>2858</v>
      </c>
      <c r="B2863" s="3" t="str">
        <f>"200712000257"</f>
        <v>200712000257</v>
      </c>
    </row>
    <row r="2864" spans="1:2" x14ac:dyDescent="0.25">
      <c r="A2864" s="3">
        <v>2859</v>
      </c>
      <c r="B2864" s="3" t="str">
        <f>"200712000389"</f>
        <v>200712000389</v>
      </c>
    </row>
    <row r="2865" spans="1:2" x14ac:dyDescent="0.25">
      <c r="A2865" s="3">
        <v>2860</v>
      </c>
      <c r="B2865" s="3" t="str">
        <f>"200712000448"</f>
        <v>200712000448</v>
      </c>
    </row>
    <row r="2866" spans="1:2" x14ac:dyDescent="0.25">
      <c r="A2866" s="3">
        <v>2861</v>
      </c>
      <c r="B2866" s="3" t="str">
        <f>"200712000884"</f>
        <v>200712000884</v>
      </c>
    </row>
    <row r="2867" spans="1:2" x14ac:dyDescent="0.25">
      <c r="A2867" s="3">
        <v>2862</v>
      </c>
      <c r="B2867" s="3" t="str">
        <f>"200712001094"</f>
        <v>200712001094</v>
      </c>
    </row>
    <row r="2868" spans="1:2" x14ac:dyDescent="0.25">
      <c r="A2868" s="3">
        <v>2863</v>
      </c>
      <c r="B2868" s="3" t="str">
        <f>"200712001153"</f>
        <v>200712001153</v>
      </c>
    </row>
    <row r="2869" spans="1:2" x14ac:dyDescent="0.25">
      <c r="A2869" s="3">
        <v>2864</v>
      </c>
      <c r="B2869" s="3" t="str">
        <f>"200712001351"</f>
        <v>200712001351</v>
      </c>
    </row>
    <row r="2870" spans="1:2" x14ac:dyDescent="0.25">
      <c r="A2870" s="3">
        <v>2865</v>
      </c>
      <c r="B2870" s="3" t="str">
        <f>"200712001435"</f>
        <v>200712001435</v>
      </c>
    </row>
    <row r="2871" spans="1:2" x14ac:dyDescent="0.25">
      <c r="A2871" s="3">
        <v>2866</v>
      </c>
      <c r="B2871" s="3" t="str">
        <f>"200712001455"</f>
        <v>200712001455</v>
      </c>
    </row>
    <row r="2872" spans="1:2" x14ac:dyDescent="0.25">
      <c r="A2872" s="3">
        <v>2867</v>
      </c>
      <c r="B2872" s="3" t="str">
        <f>"200712001457"</f>
        <v>200712001457</v>
      </c>
    </row>
    <row r="2873" spans="1:2" x14ac:dyDescent="0.25">
      <c r="A2873" s="3">
        <v>2868</v>
      </c>
      <c r="B2873" s="3" t="str">
        <f>"200712001924"</f>
        <v>200712001924</v>
      </c>
    </row>
    <row r="2874" spans="1:2" x14ac:dyDescent="0.25">
      <c r="A2874" s="3">
        <v>2869</v>
      </c>
      <c r="B2874" s="3" t="str">
        <f>"200712002335"</f>
        <v>200712002335</v>
      </c>
    </row>
    <row r="2875" spans="1:2" x14ac:dyDescent="0.25">
      <c r="A2875" s="3">
        <v>2870</v>
      </c>
      <c r="B2875" s="3" t="str">
        <f>"200712002702"</f>
        <v>200712002702</v>
      </c>
    </row>
    <row r="2876" spans="1:2" x14ac:dyDescent="0.25">
      <c r="A2876" s="3">
        <v>2871</v>
      </c>
      <c r="B2876" s="3" t="str">
        <f>"200712002798"</f>
        <v>200712002798</v>
      </c>
    </row>
    <row r="2877" spans="1:2" x14ac:dyDescent="0.25">
      <c r="A2877" s="3">
        <v>2872</v>
      </c>
      <c r="B2877" s="3" t="str">
        <f>"200712003025"</f>
        <v>200712003025</v>
      </c>
    </row>
    <row r="2878" spans="1:2" x14ac:dyDescent="0.25">
      <c r="A2878" s="3">
        <v>2873</v>
      </c>
      <c r="B2878" s="3" t="str">
        <f>"200712003034"</f>
        <v>200712003034</v>
      </c>
    </row>
    <row r="2879" spans="1:2" x14ac:dyDescent="0.25">
      <c r="A2879" s="3">
        <v>2874</v>
      </c>
      <c r="B2879" s="3" t="str">
        <f>"200712003209"</f>
        <v>200712003209</v>
      </c>
    </row>
    <row r="2880" spans="1:2" x14ac:dyDescent="0.25">
      <c r="A2880" s="3">
        <v>2875</v>
      </c>
      <c r="B2880" s="3" t="str">
        <f>"200712003333"</f>
        <v>200712003333</v>
      </c>
    </row>
    <row r="2881" spans="1:2" x14ac:dyDescent="0.25">
      <c r="A2881" s="3">
        <v>2876</v>
      </c>
      <c r="B2881" s="3" t="str">
        <f>"200712003607"</f>
        <v>200712003607</v>
      </c>
    </row>
    <row r="2882" spans="1:2" x14ac:dyDescent="0.25">
      <c r="A2882" s="3">
        <v>2877</v>
      </c>
      <c r="B2882" s="3" t="str">
        <f>"200712003689"</f>
        <v>200712003689</v>
      </c>
    </row>
    <row r="2883" spans="1:2" x14ac:dyDescent="0.25">
      <c r="A2883" s="3">
        <v>2878</v>
      </c>
      <c r="B2883" s="3" t="str">
        <f>"200712003982"</f>
        <v>200712003982</v>
      </c>
    </row>
    <row r="2884" spans="1:2" x14ac:dyDescent="0.25">
      <c r="A2884" s="3">
        <v>2879</v>
      </c>
      <c r="B2884" s="3" t="str">
        <f>"200712004101"</f>
        <v>200712004101</v>
      </c>
    </row>
    <row r="2885" spans="1:2" x14ac:dyDescent="0.25">
      <c r="A2885" s="3">
        <v>2880</v>
      </c>
      <c r="B2885" s="3" t="str">
        <f>"200712004112"</f>
        <v>200712004112</v>
      </c>
    </row>
    <row r="2886" spans="1:2" x14ac:dyDescent="0.25">
      <c r="A2886" s="3">
        <v>2881</v>
      </c>
      <c r="B2886" s="3" t="str">
        <f>"200712004163"</f>
        <v>200712004163</v>
      </c>
    </row>
    <row r="2887" spans="1:2" x14ac:dyDescent="0.25">
      <c r="A2887" s="3">
        <v>2882</v>
      </c>
      <c r="B2887" s="3" t="str">
        <f>"200712004182"</f>
        <v>200712004182</v>
      </c>
    </row>
    <row r="2888" spans="1:2" x14ac:dyDescent="0.25">
      <c r="A2888" s="3">
        <v>2883</v>
      </c>
      <c r="B2888" s="3" t="str">
        <f>"200712004198"</f>
        <v>200712004198</v>
      </c>
    </row>
    <row r="2889" spans="1:2" x14ac:dyDescent="0.25">
      <c r="A2889" s="3">
        <v>2884</v>
      </c>
      <c r="B2889" s="3" t="str">
        <f>"200712004368"</f>
        <v>200712004368</v>
      </c>
    </row>
    <row r="2890" spans="1:2" x14ac:dyDescent="0.25">
      <c r="A2890" s="3">
        <v>2885</v>
      </c>
      <c r="B2890" s="3" t="str">
        <f>"200712004426"</f>
        <v>200712004426</v>
      </c>
    </row>
    <row r="2891" spans="1:2" x14ac:dyDescent="0.25">
      <c r="A2891" s="3">
        <v>2886</v>
      </c>
      <c r="B2891" s="3" t="str">
        <f>"200712004630"</f>
        <v>200712004630</v>
      </c>
    </row>
    <row r="2892" spans="1:2" x14ac:dyDescent="0.25">
      <c r="A2892" s="3">
        <v>2887</v>
      </c>
      <c r="B2892" s="3" t="str">
        <f>"200712004835"</f>
        <v>200712004835</v>
      </c>
    </row>
    <row r="2893" spans="1:2" x14ac:dyDescent="0.25">
      <c r="A2893" s="3">
        <v>2888</v>
      </c>
      <c r="B2893" s="3" t="str">
        <f>"200712005011"</f>
        <v>200712005011</v>
      </c>
    </row>
    <row r="2894" spans="1:2" x14ac:dyDescent="0.25">
      <c r="A2894" s="3">
        <v>2889</v>
      </c>
      <c r="B2894" s="3" t="str">
        <f>"200712005253"</f>
        <v>200712005253</v>
      </c>
    </row>
    <row r="2895" spans="1:2" x14ac:dyDescent="0.25">
      <c r="A2895" s="3">
        <v>2890</v>
      </c>
      <c r="B2895" s="3" t="str">
        <f>"200712005357"</f>
        <v>200712005357</v>
      </c>
    </row>
    <row r="2896" spans="1:2" x14ac:dyDescent="0.25">
      <c r="A2896" s="3">
        <v>2891</v>
      </c>
      <c r="B2896" s="3" t="str">
        <f>"200712005543"</f>
        <v>200712005543</v>
      </c>
    </row>
    <row r="2897" spans="1:2" x14ac:dyDescent="0.25">
      <c r="A2897" s="3">
        <v>2892</v>
      </c>
      <c r="B2897" s="3" t="str">
        <f>"200712005594"</f>
        <v>200712005594</v>
      </c>
    </row>
    <row r="2898" spans="1:2" x14ac:dyDescent="0.25">
      <c r="A2898" s="3">
        <v>2893</v>
      </c>
      <c r="B2898" s="3" t="str">
        <f>"200712005628"</f>
        <v>200712005628</v>
      </c>
    </row>
    <row r="2899" spans="1:2" x14ac:dyDescent="0.25">
      <c r="A2899" s="3">
        <v>2894</v>
      </c>
      <c r="B2899" s="3" t="str">
        <f>"200712005887"</f>
        <v>200712005887</v>
      </c>
    </row>
    <row r="2900" spans="1:2" x14ac:dyDescent="0.25">
      <c r="A2900" s="3">
        <v>2895</v>
      </c>
      <c r="B2900" s="3" t="str">
        <f>"200712005930"</f>
        <v>200712005930</v>
      </c>
    </row>
    <row r="2901" spans="1:2" x14ac:dyDescent="0.25">
      <c r="A2901" s="3">
        <v>2896</v>
      </c>
      <c r="B2901" s="3" t="str">
        <f>"200712006226"</f>
        <v>200712006226</v>
      </c>
    </row>
    <row r="2902" spans="1:2" x14ac:dyDescent="0.25">
      <c r="A2902" s="3">
        <v>2897</v>
      </c>
      <c r="B2902" s="3" t="str">
        <f>"200801000118"</f>
        <v>200801000118</v>
      </c>
    </row>
    <row r="2903" spans="1:2" x14ac:dyDescent="0.25">
      <c r="A2903" s="3">
        <v>2898</v>
      </c>
      <c r="B2903" s="3" t="str">
        <f>"200801000362"</f>
        <v>200801000362</v>
      </c>
    </row>
    <row r="2904" spans="1:2" x14ac:dyDescent="0.25">
      <c r="A2904" s="3">
        <v>2899</v>
      </c>
      <c r="B2904" s="3" t="str">
        <f>"200801000366"</f>
        <v>200801000366</v>
      </c>
    </row>
    <row r="2905" spans="1:2" x14ac:dyDescent="0.25">
      <c r="A2905" s="3">
        <v>2900</v>
      </c>
      <c r="B2905" s="3" t="str">
        <f>"200801000489"</f>
        <v>200801000489</v>
      </c>
    </row>
    <row r="2906" spans="1:2" x14ac:dyDescent="0.25">
      <c r="A2906" s="3">
        <v>2901</v>
      </c>
      <c r="B2906" s="3" t="str">
        <f>"200801000707"</f>
        <v>200801000707</v>
      </c>
    </row>
    <row r="2907" spans="1:2" x14ac:dyDescent="0.25">
      <c r="A2907" s="3">
        <v>2902</v>
      </c>
      <c r="B2907" s="3" t="str">
        <f>"200801000776"</f>
        <v>200801000776</v>
      </c>
    </row>
    <row r="2908" spans="1:2" x14ac:dyDescent="0.25">
      <c r="A2908" s="3">
        <v>2903</v>
      </c>
      <c r="B2908" s="3" t="str">
        <f>"200801000921"</f>
        <v>200801000921</v>
      </c>
    </row>
    <row r="2909" spans="1:2" x14ac:dyDescent="0.25">
      <c r="A2909" s="3">
        <v>2904</v>
      </c>
      <c r="B2909" s="3" t="str">
        <f>"200801002163"</f>
        <v>200801002163</v>
      </c>
    </row>
    <row r="2910" spans="1:2" x14ac:dyDescent="0.25">
      <c r="A2910" s="3">
        <v>2905</v>
      </c>
      <c r="B2910" s="3" t="str">
        <f>"200801002173"</f>
        <v>200801002173</v>
      </c>
    </row>
    <row r="2911" spans="1:2" x14ac:dyDescent="0.25">
      <c r="A2911" s="3">
        <v>2906</v>
      </c>
      <c r="B2911" s="3" t="str">
        <f>"200801002493"</f>
        <v>200801002493</v>
      </c>
    </row>
    <row r="2912" spans="1:2" x14ac:dyDescent="0.25">
      <c r="A2912" s="3">
        <v>2907</v>
      </c>
      <c r="B2912" s="3" t="str">
        <f>"200801002624"</f>
        <v>200801002624</v>
      </c>
    </row>
    <row r="2913" spans="1:2" x14ac:dyDescent="0.25">
      <c r="A2913" s="3">
        <v>2908</v>
      </c>
      <c r="B2913" s="3" t="str">
        <f>"200801002700"</f>
        <v>200801002700</v>
      </c>
    </row>
    <row r="2914" spans="1:2" x14ac:dyDescent="0.25">
      <c r="A2914" s="3">
        <v>2909</v>
      </c>
      <c r="B2914" s="3" t="str">
        <f>"200801002737"</f>
        <v>200801002737</v>
      </c>
    </row>
    <row r="2915" spans="1:2" x14ac:dyDescent="0.25">
      <c r="A2915" s="3">
        <v>2910</v>
      </c>
      <c r="B2915" s="3" t="str">
        <f>"200801002772"</f>
        <v>200801002772</v>
      </c>
    </row>
    <row r="2916" spans="1:2" x14ac:dyDescent="0.25">
      <c r="A2916" s="3">
        <v>2911</v>
      </c>
      <c r="B2916" s="3" t="str">
        <f>"200801002887"</f>
        <v>200801002887</v>
      </c>
    </row>
    <row r="2917" spans="1:2" x14ac:dyDescent="0.25">
      <c r="A2917" s="3">
        <v>2912</v>
      </c>
      <c r="B2917" s="3" t="str">
        <f>"200801002965"</f>
        <v>200801002965</v>
      </c>
    </row>
    <row r="2918" spans="1:2" x14ac:dyDescent="0.25">
      <c r="A2918" s="3">
        <v>2913</v>
      </c>
      <c r="B2918" s="3" t="str">
        <f>"200801003217"</f>
        <v>200801003217</v>
      </c>
    </row>
    <row r="2919" spans="1:2" x14ac:dyDescent="0.25">
      <c r="A2919" s="3">
        <v>2914</v>
      </c>
      <c r="B2919" s="3" t="str">
        <f>"200801003318"</f>
        <v>200801003318</v>
      </c>
    </row>
    <row r="2920" spans="1:2" x14ac:dyDescent="0.25">
      <c r="A2920" s="3">
        <v>2915</v>
      </c>
      <c r="B2920" s="3" t="str">
        <f>"200801003454"</f>
        <v>200801003454</v>
      </c>
    </row>
    <row r="2921" spans="1:2" x14ac:dyDescent="0.25">
      <c r="A2921" s="3">
        <v>2916</v>
      </c>
      <c r="B2921" s="3" t="str">
        <f>"200801003684"</f>
        <v>200801003684</v>
      </c>
    </row>
    <row r="2922" spans="1:2" x14ac:dyDescent="0.25">
      <c r="A2922" s="3">
        <v>2917</v>
      </c>
      <c r="B2922" s="3" t="str">
        <f>"200801003781"</f>
        <v>200801003781</v>
      </c>
    </row>
    <row r="2923" spans="1:2" x14ac:dyDescent="0.25">
      <c r="A2923" s="3">
        <v>2918</v>
      </c>
      <c r="B2923" s="3" t="str">
        <f>"200801003964"</f>
        <v>200801003964</v>
      </c>
    </row>
    <row r="2924" spans="1:2" x14ac:dyDescent="0.25">
      <c r="A2924" s="3">
        <v>2919</v>
      </c>
      <c r="B2924" s="3" t="str">
        <f>"200801004088"</f>
        <v>200801004088</v>
      </c>
    </row>
    <row r="2925" spans="1:2" x14ac:dyDescent="0.25">
      <c r="A2925" s="3">
        <v>2920</v>
      </c>
      <c r="B2925" s="3" t="str">
        <f>"200801004315"</f>
        <v>200801004315</v>
      </c>
    </row>
    <row r="2926" spans="1:2" x14ac:dyDescent="0.25">
      <c r="A2926" s="3">
        <v>2921</v>
      </c>
      <c r="B2926" s="3" t="str">
        <f>"200801004465"</f>
        <v>200801004465</v>
      </c>
    </row>
    <row r="2927" spans="1:2" x14ac:dyDescent="0.25">
      <c r="A2927" s="3">
        <v>2922</v>
      </c>
      <c r="B2927" s="3" t="str">
        <f>"200801004660"</f>
        <v>200801004660</v>
      </c>
    </row>
    <row r="2928" spans="1:2" x14ac:dyDescent="0.25">
      <c r="A2928" s="3">
        <v>2923</v>
      </c>
      <c r="B2928" s="3" t="str">
        <f>"200801005919"</f>
        <v>200801005919</v>
      </c>
    </row>
    <row r="2929" spans="1:2" x14ac:dyDescent="0.25">
      <c r="A2929" s="3">
        <v>2924</v>
      </c>
      <c r="B2929" s="3" t="str">
        <f>"200801006252"</f>
        <v>200801006252</v>
      </c>
    </row>
    <row r="2930" spans="1:2" x14ac:dyDescent="0.25">
      <c r="A2930" s="3">
        <v>2925</v>
      </c>
      <c r="B2930" s="3" t="str">
        <f>"200801006448"</f>
        <v>200801006448</v>
      </c>
    </row>
    <row r="2931" spans="1:2" x14ac:dyDescent="0.25">
      <c r="A2931" s="3">
        <v>2926</v>
      </c>
      <c r="B2931" s="3" t="str">
        <f>"200801007113"</f>
        <v>200801007113</v>
      </c>
    </row>
    <row r="2932" spans="1:2" x14ac:dyDescent="0.25">
      <c r="A2932" s="3">
        <v>2927</v>
      </c>
      <c r="B2932" s="3" t="str">
        <f>"200801007360"</f>
        <v>200801007360</v>
      </c>
    </row>
    <row r="2933" spans="1:2" x14ac:dyDescent="0.25">
      <c r="A2933" s="3">
        <v>2928</v>
      </c>
      <c r="B2933" s="3" t="str">
        <f>"200801007458"</f>
        <v>200801007458</v>
      </c>
    </row>
    <row r="2934" spans="1:2" x14ac:dyDescent="0.25">
      <c r="A2934" s="3">
        <v>2929</v>
      </c>
      <c r="B2934" s="3" t="str">
        <f>"200801007522"</f>
        <v>200801007522</v>
      </c>
    </row>
    <row r="2935" spans="1:2" x14ac:dyDescent="0.25">
      <c r="A2935" s="3">
        <v>2930</v>
      </c>
      <c r="B2935" s="3" t="str">
        <f>"200801007620"</f>
        <v>200801007620</v>
      </c>
    </row>
    <row r="2936" spans="1:2" x14ac:dyDescent="0.25">
      <c r="A2936" s="3">
        <v>2931</v>
      </c>
      <c r="B2936" s="3" t="str">
        <f>"200801007946"</f>
        <v>200801007946</v>
      </c>
    </row>
    <row r="2937" spans="1:2" x14ac:dyDescent="0.25">
      <c r="A2937" s="3">
        <v>2932</v>
      </c>
      <c r="B2937" s="3" t="str">
        <f>"200801008187"</f>
        <v>200801008187</v>
      </c>
    </row>
    <row r="2938" spans="1:2" x14ac:dyDescent="0.25">
      <c r="A2938" s="3">
        <v>2933</v>
      </c>
      <c r="B2938" s="3" t="str">
        <f>"200801008392"</f>
        <v>200801008392</v>
      </c>
    </row>
    <row r="2939" spans="1:2" x14ac:dyDescent="0.25">
      <c r="A2939" s="3">
        <v>2934</v>
      </c>
      <c r="B2939" s="3" t="str">
        <f>"200801008562"</f>
        <v>200801008562</v>
      </c>
    </row>
    <row r="2940" spans="1:2" x14ac:dyDescent="0.25">
      <c r="A2940" s="3">
        <v>2935</v>
      </c>
      <c r="B2940" s="3" t="str">
        <f>"200801008933"</f>
        <v>200801008933</v>
      </c>
    </row>
    <row r="2941" spans="1:2" x14ac:dyDescent="0.25">
      <c r="A2941" s="3">
        <v>2936</v>
      </c>
      <c r="B2941" s="3" t="str">
        <f>"200801009008"</f>
        <v>200801009008</v>
      </c>
    </row>
    <row r="2942" spans="1:2" x14ac:dyDescent="0.25">
      <c r="A2942" s="3">
        <v>2937</v>
      </c>
      <c r="B2942" s="3" t="str">
        <f>"200801009062"</f>
        <v>200801009062</v>
      </c>
    </row>
    <row r="2943" spans="1:2" x14ac:dyDescent="0.25">
      <c r="A2943" s="3">
        <v>2938</v>
      </c>
      <c r="B2943" s="3" t="str">
        <f>"200801009413"</f>
        <v>200801009413</v>
      </c>
    </row>
    <row r="2944" spans="1:2" x14ac:dyDescent="0.25">
      <c r="A2944" s="3">
        <v>2939</v>
      </c>
      <c r="B2944" s="3" t="str">
        <f>"200801009463"</f>
        <v>200801009463</v>
      </c>
    </row>
    <row r="2945" spans="1:2" x14ac:dyDescent="0.25">
      <c r="A2945" s="3">
        <v>2940</v>
      </c>
      <c r="B2945" s="3" t="str">
        <f>"200801009662"</f>
        <v>200801009662</v>
      </c>
    </row>
    <row r="2946" spans="1:2" x14ac:dyDescent="0.25">
      <c r="A2946" s="3">
        <v>2941</v>
      </c>
      <c r="B2946" s="3" t="str">
        <f>"200801010193"</f>
        <v>200801010193</v>
      </c>
    </row>
    <row r="2947" spans="1:2" x14ac:dyDescent="0.25">
      <c r="A2947" s="3">
        <v>2942</v>
      </c>
      <c r="B2947" s="3" t="str">
        <f>"200801010442"</f>
        <v>200801010442</v>
      </c>
    </row>
    <row r="2948" spans="1:2" x14ac:dyDescent="0.25">
      <c r="A2948" s="3">
        <v>2943</v>
      </c>
      <c r="B2948" s="3" t="str">
        <f>"200801010649"</f>
        <v>200801010649</v>
      </c>
    </row>
    <row r="2949" spans="1:2" x14ac:dyDescent="0.25">
      <c r="A2949" s="3">
        <v>2944</v>
      </c>
      <c r="B2949" s="3" t="str">
        <f>"200801010759"</f>
        <v>200801010759</v>
      </c>
    </row>
    <row r="2950" spans="1:2" x14ac:dyDescent="0.25">
      <c r="A2950" s="3">
        <v>2945</v>
      </c>
      <c r="B2950" s="3" t="str">
        <f>"200801011001"</f>
        <v>200801011001</v>
      </c>
    </row>
    <row r="2951" spans="1:2" x14ac:dyDescent="0.25">
      <c r="A2951" s="3">
        <v>2946</v>
      </c>
      <c r="B2951" s="3" t="str">
        <f>"200801011152"</f>
        <v>200801011152</v>
      </c>
    </row>
    <row r="2952" spans="1:2" x14ac:dyDescent="0.25">
      <c r="A2952" s="3">
        <v>2947</v>
      </c>
      <c r="B2952" s="3" t="str">
        <f>"200801011276"</f>
        <v>200801011276</v>
      </c>
    </row>
    <row r="2953" spans="1:2" x14ac:dyDescent="0.25">
      <c r="A2953" s="3">
        <v>2948</v>
      </c>
      <c r="B2953" s="3" t="str">
        <f>"200801011811"</f>
        <v>200801011811</v>
      </c>
    </row>
    <row r="2954" spans="1:2" x14ac:dyDescent="0.25">
      <c r="A2954" s="3">
        <v>2949</v>
      </c>
      <c r="B2954" s="3" t="str">
        <f>"200802000668"</f>
        <v>200802000668</v>
      </c>
    </row>
    <row r="2955" spans="1:2" x14ac:dyDescent="0.25">
      <c r="A2955" s="3">
        <v>2950</v>
      </c>
      <c r="B2955" s="3" t="str">
        <f>"200802000797"</f>
        <v>200802000797</v>
      </c>
    </row>
    <row r="2956" spans="1:2" x14ac:dyDescent="0.25">
      <c r="A2956" s="3">
        <v>2951</v>
      </c>
      <c r="B2956" s="3" t="str">
        <f>"200802000903"</f>
        <v>200802000903</v>
      </c>
    </row>
    <row r="2957" spans="1:2" x14ac:dyDescent="0.25">
      <c r="A2957" s="3">
        <v>2952</v>
      </c>
      <c r="B2957" s="3" t="str">
        <f>"200802001162"</f>
        <v>200802001162</v>
      </c>
    </row>
    <row r="2958" spans="1:2" x14ac:dyDescent="0.25">
      <c r="A2958" s="3">
        <v>2953</v>
      </c>
      <c r="B2958" s="3" t="str">
        <f>"200802001292"</f>
        <v>200802001292</v>
      </c>
    </row>
    <row r="2959" spans="1:2" x14ac:dyDescent="0.25">
      <c r="A2959" s="3">
        <v>2954</v>
      </c>
      <c r="B2959" s="3" t="str">
        <f>"200802001391"</f>
        <v>200802001391</v>
      </c>
    </row>
    <row r="2960" spans="1:2" x14ac:dyDescent="0.25">
      <c r="A2960" s="3">
        <v>2955</v>
      </c>
      <c r="B2960" s="3" t="str">
        <f>"200802001843"</f>
        <v>200802001843</v>
      </c>
    </row>
    <row r="2961" spans="1:2" x14ac:dyDescent="0.25">
      <c r="A2961" s="3">
        <v>2956</v>
      </c>
      <c r="B2961" s="3" t="str">
        <f>"200802002489"</f>
        <v>200802002489</v>
      </c>
    </row>
    <row r="2962" spans="1:2" x14ac:dyDescent="0.25">
      <c r="A2962" s="3">
        <v>2957</v>
      </c>
      <c r="B2962" s="3" t="str">
        <f>"200802002681"</f>
        <v>200802002681</v>
      </c>
    </row>
    <row r="2963" spans="1:2" x14ac:dyDescent="0.25">
      <c r="A2963" s="3">
        <v>2958</v>
      </c>
      <c r="B2963" s="3" t="str">
        <f>"200802002852"</f>
        <v>200802002852</v>
      </c>
    </row>
    <row r="2964" spans="1:2" x14ac:dyDescent="0.25">
      <c r="A2964" s="3">
        <v>2959</v>
      </c>
      <c r="B2964" s="3" t="str">
        <f>"200802002875"</f>
        <v>200802002875</v>
      </c>
    </row>
    <row r="2965" spans="1:2" x14ac:dyDescent="0.25">
      <c r="A2965" s="3">
        <v>2960</v>
      </c>
      <c r="B2965" s="3" t="str">
        <f>"200802002972"</f>
        <v>200802002972</v>
      </c>
    </row>
    <row r="2966" spans="1:2" x14ac:dyDescent="0.25">
      <c r="A2966" s="3">
        <v>2961</v>
      </c>
      <c r="B2966" s="3" t="str">
        <f>"200802003677"</f>
        <v>200802003677</v>
      </c>
    </row>
    <row r="2967" spans="1:2" x14ac:dyDescent="0.25">
      <c r="A2967" s="3">
        <v>2962</v>
      </c>
      <c r="B2967" s="3" t="str">
        <f>"200802003686"</f>
        <v>200802003686</v>
      </c>
    </row>
    <row r="2968" spans="1:2" x14ac:dyDescent="0.25">
      <c r="A2968" s="3">
        <v>2963</v>
      </c>
      <c r="B2968" s="3" t="str">
        <f>"200802003851"</f>
        <v>200802003851</v>
      </c>
    </row>
    <row r="2969" spans="1:2" x14ac:dyDescent="0.25">
      <c r="A2969" s="3">
        <v>2964</v>
      </c>
      <c r="B2969" s="3" t="str">
        <f>"200802003972"</f>
        <v>200802003972</v>
      </c>
    </row>
    <row r="2970" spans="1:2" x14ac:dyDescent="0.25">
      <c r="A2970" s="3">
        <v>2965</v>
      </c>
      <c r="B2970" s="3" t="str">
        <f>"200802004201"</f>
        <v>200802004201</v>
      </c>
    </row>
    <row r="2971" spans="1:2" x14ac:dyDescent="0.25">
      <c r="A2971" s="3">
        <v>2966</v>
      </c>
      <c r="B2971" s="3" t="str">
        <f>"200802004272"</f>
        <v>200802004272</v>
      </c>
    </row>
    <row r="2972" spans="1:2" x14ac:dyDescent="0.25">
      <c r="A2972" s="3">
        <v>2967</v>
      </c>
      <c r="B2972" s="3" t="str">
        <f>"200802004314"</f>
        <v>200802004314</v>
      </c>
    </row>
    <row r="2973" spans="1:2" x14ac:dyDescent="0.25">
      <c r="A2973" s="3">
        <v>2968</v>
      </c>
      <c r="B2973" s="3" t="str">
        <f>"200802004523"</f>
        <v>200802004523</v>
      </c>
    </row>
    <row r="2974" spans="1:2" x14ac:dyDescent="0.25">
      <c r="A2974" s="3">
        <v>2969</v>
      </c>
      <c r="B2974" s="3" t="str">
        <f>"200802004676"</f>
        <v>200802004676</v>
      </c>
    </row>
    <row r="2975" spans="1:2" x14ac:dyDescent="0.25">
      <c r="A2975" s="3">
        <v>2970</v>
      </c>
      <c r="B2975" s="3" t="str">
        <f>"200802005013"</f>
        <v>200802005013</v>
      </c>
    </row>
    <row r="2976" spans="1:2" x14ac:dyDescent="0.25">
      <c r="A2976" s="3">
        <v>2971</v>
      </c>
      <c r="B2976" s="3" t="str">
        <f>"200802005152"</f>
        <v>200802005152</v>
      </c>
    </row>
    <row r="2977" spans="1:2" x14ac:dyDescent="0.25">
      <c r="A2977" s="3">
        <v>2972</v>
      </c>
      <c r="B2977" s="3" t="str">
        <f>"200802005674"</f>
        <v>200802005674</v>
      </c>
    </row>
    <row r="2978" spans="1:2" x14ac:dyDescent="0.25">
      <c r="A2978" s="3">
        <v>2973</v>
      </c>
      <c r="B2978" s="3" t="str">
        <f>"200802005745"</f>
        <v>200802005745</v>
      </c>
    </row>
    <row r="2979" spans="1:2" x14ac:dyDescent="0.25">
      <c r="A2979" s="3">
        <v>2974</v>
      </c>
      <c r="B2979" s="3" t="str">
        <f>"200802005807"</f>
        <v>200802005807</v>
      </c>
    </row>
    <row r="2980" spans="1:2" x14ac:dyDescent="0.25">
      <c r="A2980" s="3">
        <v>2975</v>
      </c>
      <c r="B2980" s="3" t="str">
        <f>"200802005819"</f>
        <v>200802005819</v>
      </c>
    </row>
    <row r="2981" spans="1:2" x14ac:dyDescent="0.25">
      <c r="A2981" s="3">
        <v>2976</v>
      </c>
      <c r="B2981" s="3" t="str">
        <f>"200802005874"</f>
        <v>200802005874</v>
      </c>
    </row>
    <row r="2982" spans="1:2" x14ac:dyDescent="0.25">
      <c r="A2982" s="3">
        <v>2977</v>
      </c>
      <c r="B2982" s="3" t="str">
        <f>"200802005949"</f>
        <v>200802005949</v>
      </c>
    </row>
    <row r="2983" spans="1:2" x14ac:dyDescent="0.25">
      <c r="A2983" s="3">
        <v>2978</v>
      </c>
      <c r="B2983" s="3" t="str">
        <f>"200802005984"</f>
        <v>200802005984</v>
      </c>
    </row>
    <row r="2984" spans="1:2" x14ac:dyDescent="0.25">
      <c r="A2984" s="3">
        <v>2979</v>
      </c>
      <c r="B2984" s="3" t="str">
        <f>"200802006144"</f>
        <v>200802006144</v>
      </c>
    </row>
    <row r="2985" spans="1:2" x14ac:dyDescent="0.25">
      <c r="A2985" s="3">
        <v>2980</v>
      </c>
      <c r="B2985" s="3" t="str">
        <f>"200802006191"</f>
        <v>200802006191</v>
      </c>
    </row>
    <row r="2986" spans="1:2" x14ac:dyDescent="0.25">
      <c r="A2986" s="3">
        <v>2981</v>
      </c>
      <c r="B2986" s="3" t="str">
        <f>"200802006214"</f>
        <v>200802006214</v>
      </c>
    </row>
    <row r="2987" spans="1:2" x14ac:dyDescent="0.25">
      <c r="A2987" s="3">
        <v>2982</v>
      </c>
      <c r="B2987" s="3" t="str">
        <f>"200802006414"</f>
        <v>200802006414</v>
      </c>
    </row>
    <row r="2988" spans="1:2" x14ac:dyDescent="0.25">
      <c r="A2988" s="3">
        <v>2983</v>
      </c>
      <c r="B2988" s="3" t="str">
        <f>"200802006442"</f>
        <v>200802006442</v>
      </c>
    </row>
    <row r="2989" spans="1:2" x14ac:dyDescent="0.25">
      <c r="A2989" s="3">
        <v>2984</v>
      </c>
      <c r="B2989" s="3" t="str">
        <f>"200802006502"</f>
        <v>200802006502</v>
      </c>
    </row>
    <row r="2990" spans="1:2" x14ac:dyDescent="0.25">
      <c r="A2990" s="3">
        <v>2985</v>
      </c>
      <c r="B2990" s="3" t="str">
        <f>"200802006596"</f>
        <v>200802006596</v>
      </c>
    </row>
    <row r="2991" spans="1:2" x14ac:dyDescent="0.25">
      <c r="A2991" s="3">
        <v>2986</v>
      </c>
      <c r="B2991" s="3" t="str">
        <f>"200802006656"</f>
        <v>200802006656</v>
      </c>
    </row>
    <row r="2992" spans="1:2" x14ac:dyDescent="0.25">
      <c r="A2992" s="3">
        <v>2987</v>
      </c>
      <c r="B2992" s="3" t="str">
        <f>"200802007189"</f>
        <v>200802007189</v>
      </c>
    </row>
    <row r="2993" spans="1:2" x14ac:dyDescent="0.25">
      <c r="A2993" s="3">
        <v>2988</v>
      </c>
      <c r="B2993" s="3" t="str">
        <f>"200802007207"</f>
        <v>200802007207</v>
      </c>
    </row>
    <row r="2994" spans="1:2" x14ac:dyDescent="0.25">
      <c r="A2994" s="3">
        <v>2989</v>
      </c>
      <c r="B2994" s="3" t="str">
        <f>"200802007481"</f>
        <v>200802007481</v>
      </c>
    </row>
    <row r="2995" spans="1:2" x14ac:dyDescent="0.25">
      <c r="A2995" s="3">
        <v>2990</v>
      </c>
      <c r="B2995" s="3" t="str">
        <f>"200802007626"</f>
        <v>200802007626</v>
      </c>
    </row>
    <row r="2996" spans="1:2" x14ac:dyDescent="0.25">
      <c r="A2996" s="3">
        <v>2991</v>
      </c>
      <c r="B2996" s="3" t="str">
        <f>"200802007868"</f>
        <v>200802007868</v>
      </c>
    </row>
    <row r="2997" spans="1:2" x14ac:dyDescent="0.25">
      <c r="A2997" s="3">
        <v>2992</v>
      </c>
      <c r="B2997" s="3" t="str">
        <f>"200802008349"</f>
        <v>200802008349</v>
      </c>
    </row>
    <row r="2998" spans="1:2" x14ac:dyDescent="0.25">
      <c r="A2998" s="3">
        <v>2993</v>
      </c>
      <c r="B2998" s="3" t="str">
        <f>"200802008432"</f>
        <v>200802008432</v>
      </c>
    </row>
    <row r="2999" spans="1:2" x14ac:dyDescent="0.25">
      <c r="A2999" s="3">
        <v>2994</v>
      </c>
      <c r="B2999" s="3" t="str">
        <f>"200802008542"</f>
        <v>200802008542</v>
      </c>
    </row>
    <row r="3000" spans="1:2" x14ac:dyDescent="0.25">
      <c r="A3000" s="3">
        <v>2995</v>
      </c>
      <c r="B3000" s="3" t="str">
        <f>"200802008549"</f>
        <v>200802008549</v>
      </c>
    </row>
    <row r="3001" spans="1:2" x14ac:dyDescent="0.25">
      <c r="A3001" s="3">
        <v>2996</v>
      </c>
      <c r="B3001" s="3" t="str">
        <f>"200802009596"</f>
        <v>200802009596</v>
      </c>
    </row>
    <row r="3002" spans="1:2" x14ac:dyDescent="0.25">
      <c r="A3002" s="3">
        <v>2997</v>
      </c>
      <c r="B3002" s="3" t="str">
        <f>"200802009625"</f>
        <v>200802009625</v>
      </c>
    </row>
    <row r="3003" spans="1:2" x14ac:dyDescent="0.25">
      <c r="A3003" s="3">
        <v>2998</v>
      </c>
      <c r="B3003" s="3" t="str">
        <f>"200802010208"</f>
        <v>200802010208</v>
      </c>
    </row>
    <row r="3004" spans="1:2" x14ac:dyDescent="0.25">
      <c r="A3004" s="3">
        <v>2999</v>
      </c>
      <c r="B3004" s="3" t="str">
        <f>"200802010491"</f>
        <v>200802010491</v>
      </c>
    </row>
    <row r="3005" spans="1:2" x14ac:dyDescent="0.25">
      <c r="A3005" s="3">
        <v>3000</v>
      </c>
      <c r="B3005" s="3" t="str">
        <f>"200802011177"</f>
        <v>200802011177</v>
      </c>
    </row>
    <row r="3006" spans="1:2" x14ac:dyDescent="0.25">
      <c r="A3006" s="3">
        <v>3001</v>
      </c>
      <c r="B3006" s="3" t="str">
        <f>"200802011306"</f>
        <v>200802011306</v>
      </c>
    </row>
    <row r="3007" spans="1:2" x14ac:dyDescent="0.25">
      <c r="A3007" s="3">
        <v>3002</v>
      </c>
      <c r="B3007" s="3" t="str">
        <f>"200802011516"</f>
        <v>200802011516</v>
      </c>
    </row>
    <row r="3008" spans="1:2" x14ac:dyDescent="0.25">
      <c r="A3008" s="3">
        <v>3003</v>
      </c>
      <c r="B3008" s="3" t="str">
        <f>"200802011657"</f>
        <v>200802011657</v>
      </c>
    </row>
    <row r="3009" spans="1:2" x14ac:dyDescent="0.25">
      <c r="A3009" s="3">
        <v>3004</v>
      </c>
      <c r="B3009" s="3" t="str">
        <f>"200802012066"</f>
        <v>200802012066</v>
      </c>
    </row>
    <row r="3010" spans="1:2" x14ac:dyDescent="0.25">
      <c r="A3010" s="3">
        <v>3005</v>
      </c>
      <c r="B3010" s="3" t="str">
        <f>"200802012255"</f>
        <v>200802012255</v>
      </c>
    </row>
    <row r="3011" spans="1:2" x14ac:dyDescent="0.25">
      <c r="A3011" s="3">
        <v>3006</v>
      </c>
      <c r="B3011" s="3" t="str">
        <f>"200803000035"</f>
        <v>200803000035</v>
      </c>
    </row>
    <row r="3012" spans="1:2" x14ac:dyDescent="0.25">
      <c r="A3012" s="3">
        <v>3007</v>
      </c>
      <c r="B3012" s="3" t="str">
        <f>"200803000088"</f>
        <v>200803000088</v>
      </c>
    </row>
    <row r="3013" spans="1:2" x14ac:dyDescent="0.25">
      <c r="A3013" s="3">
        <v>3008</v>
      </c>
      <c r="B3013" s="3" t="str">
        <f>"200803000330"</f>
        <v>200803000330</v>
      </c>
    </row>
    <row r="3014" spans="1:2" x14ac:dyDescent="0.25">
      <c r="A3014" s="3">
        <v>3009</v>
      </c>
      <c r="B3014" s="3" t="str">
        <f>"200803000587"</f>
        <v>200803000587</v>
      </c>
    </row>
    <row r="3015" spans="1:2" x14ac:dyDescent="0.25">
      <c r="A3015" s="3">
        <v>3010</v>
      </c>
      <c r="B3015" s="3" t="str">
        <f>"200803000650"</f>
        <v>200803000650</v>
      </c>
    </row>
    <row r="3016" spans="1:2" x14ac:dyDescent="0.25">
      <c r="A3016" s="3">
        <v>3011</v>
      </c>
      <c r="B3016" s="3" t="str">
        <f>"200803000715"</f>
        <v>200803000715</v>
      </c>
    </row>
    <row r="3017" spans="1:2" x14ac:dyDescent="0.25">
      <c r="A3017" s="3">
        <v>3012</v>
      </c>
      <c r="B3017" s="3" t="str">
        <f>"200803000850"</f>
        <v>200803000850</v>
      </c>
    </row>
    <row r="3018" spans="1:2" x14ac:dyDescent="0.25">
      <c r="A3018" s="3">
        <v>3013</v>
      </c>
      <c r="B3018" s="3" t="str">
        <f>"200803000931"</f>
        <v>200803000931</v>
      </c>
    </row>
    <row r="3019" spans="1:2" x14ac:dyDescent="0.25">
      <c r="A3019" s="3">
        <v>3014</v>
      </c>
      <c r="B3019" s="3" t="str">
        <f>"200803001017"</f>
        <v>200803001017</v>
      </c>
    </row>
    <row r="3020" spans="1:2" x14ac:dyDescent="0.25">
      <c r="A3020" s="3">
        <v>3015</v>
      </c>
      <c r="B3020" s="3" t="str">
        <f>"200803001038"</f>
        <v>200803001038</v>
      </c>
    </row>
    <row r="3021" spans="1:2" x14ac:dyDescent="0.25">
      <c r="A3021" s="3">
        <v>3016</v>
      </c>
      <c r="B3021" s="3" t="str">
        <f>"200804000353"</f>
        <v>200804000353</v>
      </c>
    </row>
    <row r="3022" spans="1:2" x14ac:dyDescent="0.25">
      <c r="A3022" s="3">
        <v>3017</v>
      </c>
      <c r="B3022" s="3" t="str">
        <f>"200804000415"</f>
        <v>200804000415</v>
      </c>
    </row>
    <row r="3023" spans="1:2" x14ac:dyDescent="0.25">
      <c r="A3023" s="3">
        <v>3018</v>
      </c>
      <c r="B3023" s="3" t="str">
        <f>"200804000632"</f>
        <v>200804000632</v>
      </c>
    </row>
    <row r="3024" spans="1:2" x14ac:dyDescent="0.25">
      <c r="A3024" s="3">
        <v>3019</v>
      </c>
      <c r="B3024" s="3" t="str">
        <f>"200804000849"</f>
        <v>200804000849</v>
      </c>
    </row>
    <row r="3025" spans="1:2" x14ac:dyDescent="0.25">
      <c r="A3025" s="3">
        <v>3020</v>
      </c>
      <c r="B3025" s="3" t="str">
        <f>"200804001000"</f>
        <v>200804001000</v>
      </c>
    </row>
    <row r="3026" spans="1:2" x14ac:dyDescent="0.25">
      <c r="A3026" s="3">
        <v>3021</v>
      </c>
      <c r="B3026" s="3" t="str">
        <f>"200805000111"</f>
        <v>200805000111</v>
      </c>
    </row>
    <row r="3027" spans="1:2" x14ac:dyDescent="0.25">
      <c r="A3027" s="3">
        <v>3022</v>
      </c>
      <c r="B3027" s="3" t="str">
        <f>"200805000209"</f>
        <v>200805000209</v>
      </c>
    </row>
    <row r="3028" spans="1:2" x14ac:dyDescent="0.25">
      <c r="A3028" s="3">
        <v>3023</v>
      </c>
      <c r="B3028" s="3" t="str">
        <f>"200805001190"</f>
        <v>200805001190</v>
      </c>
    </row>
    <row r="3029" spans="1:2" x14ac:dyDescent="0.25">
      <c r="A3029" s="3">
        <v>3024</v>
      </c>
      <c r="B3029" s="3" t="str">
        <f>"200805001341"</f>
        <v>200805001341</v>
      </c>
    </row>
    <row r="3030" spans="1:2" x14ac:dyDescent="0.25">
      <c r="A3030" s="3">
        <v>3025</v>
      </c>
      <c r="B3030" s="3" t="str">
        <f>"200806000620"</f>
        <v>200806000620</v>
      </c>
    </row>
    <row r="3031" spans="1:2" x14ac:dyDescent="0.25">
      <c r="A3031" s="3">
        <v>3026</v>
      </c>
      <c r="B3031" s="3" t="str">
        <f>"200806000901"</f>
        <v>200806000901</v>
      </c>
    </row>
    <row r="3032" spans="1:2" x14ac:dyDescent="0.25">
      <c r="A3032" s="3">
        <v>3027</v>
      </c>
      <c r="B3032" s="3" t="str">
        <f>"200808000261"</f>
        <v>200808000261</v>
      </c>
    </row>
    <row r="3033" spans="1:2" x14ac:dyDescent="0.25">
      <c r="A3033" s="3">
        <v>3028</v>
      </c>
      <c r="B3033" s="3" t="str">
        <f>"200808000543"</f>
        <v>200808000543</v>
      </c>
    </row>
    <row r="3034" spans="1:2" x14ac:dyDescent="0.25">
      <c r="A3034" s="3">
        <v>3029</v>
      </c>
      <c r="B3034" s="3" t="str">
        <f>"200809000196"</f>
        <v>200809000196</v>
      </c>
    </row>
    <row r="3035" spans="1:2" x14ac:dyDescent="0.25">
      <c r="A3035" s="3">
        <v>3030</v>
      </c>
      <c r="B3035" s="3" t="str">
        <f>"200809000511"</f>
        <v>200809000511</v>
      </c>
    </row>
    <row r="3036" spans="1:2" x14ac:dyDescent="0.25">
      <c r="A3036" s="3">
        <v>3031</v>
      </c>
      <c r="B3036" s="3" t="str">
        <f>"200809000573"</f>
        <v>200809000573</v>
      </c>
    </row>
    <row r="3037" spans="1:2" x14ac:dyDescent="0.25">
      <c r="A3037" s="3">
        <v>3032</v>
      </c>
      <c r="B3037" s="3" t="str">
        <f>"200810000286"</f>
        <v>200810000286</v>
      </c>
    </row>
    <row r="3038" spans="1:2" x14ac:dyDescent="0.25">
      <c r="A3038" s="3">
        <v>3033</v>
      </c>
      <c r="B3038" s="3" t="str">
        <f>"200810000401"</f>
        <v>200810000401</v>
      </c>
    </row>
    <row r="3039" spans="1:2" x14ac:dyDescent="0.25">
      <c r="A3039" s="3">
        <v>3034</v>
      </c>
      <c r="B3039" s="3" t="str">
        <f>"200810000724"</f>
        <v>200810000724</v>
      </c>
    </row>
    <row r="3040" spans="1:2" x14ac:dyDescent="0.25">
      <c r="A3040" s="3">
        <v>3035</v>
      </c>
      <c r="B3040" s="3" t="str">
        <f>"200810001149"</f>
        <v>200810001149</v>
      </c>
    </row>
    <row r="3041" spans="1:2" x14ac:dyDescent="0.25">
      <c r="A3041" s="3">
        <v>3036</v>
      </c>
      <c r="B3041" s="3" t="str">
        <f>"200811000099"</f>
        <v>200811000099</v>
      </c>
    </row>
    <row r="3042" spans="1:2" x14ac:dyDescent="0.25">
      <c r="A3042" s="3">
        <v>3037</v>
      </c>
      <c r="B3042" s="3" t="str">
        <f>"200811000390"</f>
        <v>200811000390</v>
      </c>
    </row>
    <row r="3043" spans="1:2" x14ac:dyDescent="0.25">
      <c r="A3043" s="3">
        <v>3038</v>
      </c>
      <c r="B3043" s="3" t="str">
        <f>"200811000433"</f>
        <v>200811000433</v>
      </c>
    </row>
    <row r="3044" spans="1:2" x14ac:dyDescent="0.25">
      <c r="A3044" s="3">
        <v>3039</v>
      </c>
      <c r="B3044" s="3" t="str">
        <f>"200811000758"</f>
        <v>200811000758</v>
      </c>
    </row>
    <row r="3045" spans="1:2" x14ac:dyDescent="0.25">
      <c r="A3045" s="3">
        <v>3040</v>
      </c>
      <c r="B3045" s="3" t="str">
        <f>"200811001023"</f>
        <v>200811001023</v>
      </c>
    </row>
    <row r="3046" spans="1:2" x14ac:dyDescent="0.25">
      <c r="A3046" s="3">
        <v>3041</v>
      </c>
      <c r="B3046" s="3" t="str">
        <f>"200811001711"</f>
        <v>200811001711</v>
      </c>
    </row>
    <row r="3047" spans="1:2" x14ac:dyDescent="0.25">
      <c r="A3047" s="3">
        <v>3042</v>
      </c>
      <c r="B3047" s="3" t="str">
        <f>"200812000664"</f>
        <v>200812000664</v>
      </c>
    </row>
    <row r="3048" spans="1:2" x14ac:dyDescent="0.25">
      <c r="A3048" s="3">
        <v>3043</v>
      </c>
      <c r="B3048" s="3" t="str">
        <f>"200812000795"</f>
        <v>200812000795</v>
      </c>
    </row>
    <row r="3049" spans="1:2" x14ac:dyDescent="0.25">
      <c r="A3049" s="3">
        <v>3044</v>
      </c>
      <c r="B3049" s="3" t="str">
        <f>"200812000924"</f>
        <v>200812000924</v>
      </c>
    </row>
    <row r="3050" spans="1:2" x14ac:dyDescent="0.25">
      <c r="A3050" s="3">
        <v>3045</v>
      </c>
      <c r="B3050" s="3" t="str">
        <f>"200812000976"</f>
        <v>200812000976</v>
      </c>
    </row>
    <row r="3051" spans="1:2" x14ac:dyDescent="0.25">
      <c r="A3051" s="3">
        <v>3046</v>
      </c>
      <c r="B3051" s="3" t="str">
        <f>"200901000442"</f>
        <v>200901000442</v>
      </c>
    </row>
    <row r="3052" spans="1:2" x14ac:dyDescent="0.25">
      <c r="A3052" s="3">
        <v>3047</v>
      </c>
      <c r="B3052" s="3" t="str">
        <f>"200901000539"</f>
        <v>200901000539</v>
      </c>
    </row>
    <row r="3053" spans="1:2" x14ac:dyDescent="0.25">
      <c r="A3053" s="3">
        <v>3048</v>
      </c>
      <c r="B3053" s="3" t="str">
        <f>"200901000873"</f>
        <v>200901000873</v>
      </c>
    </row>
    <row r="3054" spans="1:2" x14ac:dyDescent="0.25">
      <c r="A3054" s="3">
        <v>3049</v>
      </c>
      <c r="B3054" s="3" t="str">
        <f>"200901000879"</f>
        <v>200901000879</v>
      </c>
    </row>
    <row r="3055" spans="1:2" x14ac:dyDescent="0.25">
      <c r="A3055" s="3">
        <v>3050</v>
      </c>
      <c r="B3055" s="3" t="str">
        <f>"200901000975"</f>
        <v>200901000975</v>
      </c>
    </row>
    <row r="3056" spans="1:2" x14ac:dyDescent="0.25">
      <c r="A3056" s="3">
        <v>3051</v>
      </c>
      <c r="B3056" s="3" t="str">
        <f>"200901000996"</f>
        <v>200901000996</v>
      </c>
    </row>
    <row r="3057" spans="1:2" x14ac:dyDescent="0.25">
      <c r="A3057" s="3">
        <v>3052</v>
      </c>
      <c r="B3057" s="3" t="str">
        <f>"200902000517"</f>
        <v>200902000517</v>
      </c>
    </row>
    <row r="3058" spans="1:2" x14ac:dyDescent="0.25">
      <c r="A3058" s="3">
        <v>3053</v>
      </c>
      <c r="B3058" s="3" t="str">
        <f>"200902000631"</f>
        <v>200902000631</v>
      </c>
    </row>
    <row r="3059" spans="1:2" x14ac:dyDescent="0.25">
      <c r="A3059" s="3">
        <v>3054</v>
      </c>
      <c r="B3059" s="3" t="str">
        <f>"200904000325"</f>
        <v>200904000325</v>
      </c>
    </row>
    <row r="3060" spans="1:2" x14ac:dyDescent="0.25">
      <c r="A3060" s="3">
        <v>3055</v>
      </c>
      <c r="B3060" s="3" t="str">
        <f>"200904000524"</f>
        <v>200904000524</v>
      </c>
    </row>
    <row r="3061" spans="1:2" x14ac:dyDescent="0.25">
      <c r="A3061" s="3">
        <v>3056</v>
      </c>
      <c r="B3061" s="3" t="str">
        <f>"200905000279"</f>
        <v>200905000279</v>
      </c>
    </row>
    <row r="3062" spans="1:2" x14ac:dyDescent="0.25">
      <c r="A3062" s="3">
        <v>3057</v>
      </c>
      <c r="B3062" s="3" t="str">
        <f>"200905000419"</f>
        <v>200905000419</v>
      </c>
    </row>
    <row r="3063" spans="1:2" x14ac:dyDescent="0.25">
      <c r="A3063" s="3">
        <v>3058</v>
      </c>
      <c r="B3063" s="3" t="str">
        <f>"200905000493"</f>
        <v>200905000493</v>
      </c>
    </row>
    <row r="3064" spans="1:2" x14ac:dyDescent="0.25">
      <c r="A3064" s="3">
        <v>3059</v>
      </c>
      <c r="B3064" s="3" t="str">
        <f>"200905000526"</f>
        <v>200905000526</v>
      </c>
    </row>
    <row r="3065" spans="1:2" x14ac:dyDescent="0.25">
      <c r="A3065" s="3">
        <v>3060</v>
      </c>
      <c r="B3065" s="3" t="str">
        <f>"200906000150"</f>
        <v>200906000150</v>
      </c>
    </row>
    <row r="3066" spans="1:2" x14ac:dyDescent="0.25">
      <c r="A3066" s="3">
        <v>3061</v>
      </c>
      <c r="B3066" s="3" t="str">
        <f>"200907000132"</f>
        <v>200907000132</v>
      </c>
    </row>
    <row r="3067" spans="1:2" x14ac:dyDescent="0.25">
      <c r="A3067" s="3">
        <v>3062</v>
      </c>
      <c r="B3067" s="3" t="str">
        <f>"200907000159"</f>
        <v>200907000159</v>
      </c>
    </row>
    <row r="3068" spans="1:2" x14ac:dyDescent="0.25">
      <c r="A3068" s="3">
        <v>3063</v>
      </c>
      <c r="B3068" s="3" t="str">
        <f>"200907000465"</f>
        <v>200907000465</v>
      </c>
    </row>
    <row r="3069" spans="1:2" x14ac:dyDescent="0.25">
      <c r="A3069" s="3">
        <v>3064</v>
      </c>
      <c r="B3069" s="3" t="str">
        <f>"200908000345"</f>
        <v>200908000345</v>
      </c>
    </row>
    <row r="3070" spans="1:2" x14ac:dyDescent="0.25">
      <c r="A3070" s="3">
        <v>3065</v>
      </c>
      <c r="B3070" s="3" t="str">
        <f>"200909000245"</f>
        <v>200909000245</v>
      </c>
    </row>
    <row r="3071" spans="1:2" x14ac:dyDescent="0.25">
      <c r="A3071" s="3">
        <v>3066</v>
      </c>
      <c r="B3071" s="3" t="str">
        <f>"200910000317"</f>
        <v>200910000317</v>
      </c>
    </row>
    <row r="3072" spans="1:2" x14ac:dyDescent="0.25">
      <c r="A3072" s="3">
        <v>3067</v>
      </c>
      <c r="B3072" s="3" t="str">
        <f>"200910000434"</f>
        <v>200910000434</v>
      </c>
    </row>
    <row r="3073" spans="1:2" x14ac:dyDescent="0.25">
      <c r="A3073" s="3">
        <v>3068</v>
      </c>
      <c r="B3073" s="3" t="str">
        <f>"200910000456"</f>
        <v>200910000456</v>
      </c>
    </row>
    <row r="3074" spans="1:2" x14ac:dyDescent="0.25">
      <c r="A3074" s="3">
        <v>3069</v>
      </c>
      <c r="B3074" s="3" t="str">
        <f>"200910000599"</f>
        <v>200910000599</v>
      </c>
    </row>
    <row r="3075" spans="1:2" x14ac:dyDescent="0.25">
      <c r="A3075" s="3">
        <v>3070</v>
      </c>
      <c r="B3075" s="3" t="str">
        <f>"200911000023"</f>
        <v>200911000023</v>
      </c>
    </row>
    <row r="3076" spans="1:2" x14ac:dyDescent="0.25">
      <c r="A3076" s="3">
        <v>3071</v>
      </c>
      <c r="B3076" s="3" t="str">
        <f>"200911000052"</f>
        <v>200911000052</v>
      </c>
    </row>
    <row r="3077" spans="1:2" x14ac:dyDescent="0.25">
      <c r="A3077" s="3">
        <v>3072</v>
      </c>
      <c r="B3077" s="3" t="str">
        <f>"200911000112"</f>
        <v>200911000112</v>
      </c>
    </row>
    <row r="3078" spans="1:2" x14ac:dyDescent="0.25">
      <c r="A3078" s="3">
        <v>3073</v>
      </c>
      <c r="B3078" s="3" t="str">
        <f>"200911000224"</f>
        <v>200911000224</v>
      </c>
    </row>
    <row r="3079" spans="1:2" x14ac:dyDescent="0.25">
      <c r="A3079" s="3">
        <v>3074</v>
      </c>
      <c r="B3079" s="3" t="str">
        <f>"200911000263"</f>
        <v>200911000263</v>
      </c>
    </row>
    <row r="3080" spans="1:2" x14ac:dyDescent="0.25">
      <c r="A3080" s="3">
        <v>3075</v>
      </c>
      <c r="B3080" s="3" t="str">
        <f>"200911000470"</f>
        <v>200911000470</v>
      </c>
    </row>
    <row r="3081" spans="1:2" x14ac:dyDescent="0.25">
      <c r="A3081" s="3">
        <v>3076</v>
      </c>
      <c r="B3081" s="3" t="str">
        <f>"201001000088"</f>
        <v>201001000088</v>
      </c>
    </row>
    <row r="3082" spans="1:2" x14ac:dyDescent="0.25">
      <c r="A3082" s="3">
        <v>3077</v>
      </c>
      <c r="B3082" s="3" t="str">
        <f>"201003000125"</f>
        <v>201003000125</v>
      </c>
    </row>
    <row r="3083" spans="1:2" x14ac:dyDescent="0.25">
      <c r="A3083" s="3">
        <v>3078</v>
      </c>
      <c r="B3083" s="3" t="str">
        <f>"201003000186"</f>
        <v>201003000186</v>
      </c>
    </row>
    <row r="3084" spans="1:2" x14ac:dyDescent="0.25">
      <c r="A3084" s="3">
        <v>3079</v>
      </c>
      <c r="B3084" s="3" t="str">
        <f>"201005000094"</f>
        <v>201005000094</v>
      </c>
    </row>
    <row r="3085" spans="1:2" x14ac:dyDescent="0.25">
      <c r="A3085" s="3">
        <v>3080</v>
      </c>
      <c r="B3085" s="3" t="str">
        <f>"201005000122"</f>
        <v>201005000122</v>
      </c>
    </row>
    <row r="3086" spans="1:2" x14ac:dyDescent="0.25">
      <c r="A3086" s="3">
        <v>3081</v>
      </c>
      <c r="B3086" s="3" t="str">
        <f>"201006000157"</f>
        <v>201006000157</v>
      </c>
    </row>
    <row r="3087" spans="1:2" x14ac:dyDescent="0.25">
      <c r="A3087" s="3">
        <v>3082</v>
      </c>
      <c r="B3087" s="3" t="str">
        <f>"201007000012"</f>
        <v>201007000012</v>
      </c>
    </row>
    <row r="3088" spans="1:2" x14ac:dyDescent="0.25">
      <c r="A3088" s="3">
        <v>3083</v>
      </c>
      <c r="B3088" s="3" t="str">
        <f>"201007000058"</f>
        <v>201007000058</v>
      </c>
    </row>
    <row r="3089" spans="1:2" x14ac:dyDescent="0.25">
      <c r="A3089" s="3">
        <v>3084</v>
      </c>
      <c r="B3089" s="3" t="str">
        <f>"201007000060"</f>
        <v>201007000060</v>
      </c>
    </row>
    <row r="3090" spans="1:2" x14ac:dyDescent="0.25">
      <c r="A3090" s="3">
        <v>3085</v>
      </c>
      <c r="B3090" s="3" t="str">
        <f>"201007000108"</f>
        <v>201007000108</v>
      </c>
    </row>
    <row r="3091" spans="1:2" x14ac:dyDescent="0.25">
      <c r="A3091" s="3">
        <v>3086</v>
      </c>
      <c r="B3091" s="3" t="str">
        <f>"201008000070"</f>
        <v>201008000070</v>
      </c>
    </row>
    <row r="3092" spans="1:2" x14ac:dyDescent="0.25">
      <c r="A3092" s="3">
        <v>3087</v>
      </c>
      <c r="B3092" s="3" t="str">
        <f>"201009000069"</f>
        <v>201009000069</v>
      </c>
    </row>
    <row r="3093" spans="1:2" x14ac:dyDescent="0.25">
      <c r="A3093" s="3">
        <v>3088</v>
      </c>
      <c r="B3093" s="3" t="str">
        <f>"201009000128"</f>
        <v>201009000128</v>
      </c>
    </row>
    <row r="3094" spans="1:2" x14ac:dyDescent="0.25">
      <c r="A3094" s="3">
        <v>3089</v>
      </c>
      <c r="B3094" s="3" t="str">
        <f>"201011000041"</f>
        <v>201011000041</v>
      </c>
    </row>
    <row r="3095" spans="1:2" x14ac:dyDescent="0.25">
      <c r="A3095" s="3">
        <v>3090</v>
      </c>
      <c r="B3095" s="3" t="str">
        <f>"201012000060"</f>
        <v>201012000060</v>
      </c>
    </row>
    <row r="3096" spans="1:2" x14ac:dyDescent="0.25">
      <c r="A3096" s="3">
        <v>3091</v>
      </c>
      <c r="B3096" s="3" t="str">
        <f>"201101000118"</f>
        <v>201101000118</v>
      </c>
    </row>
    <row r="3097" spans="1:2" x14ac:dyDescent="0.25">
      <c r="A3097" s="3">
        <v>3092</v>
      </c>
      <c r="B3097" s="3" t="str">
        <f>"201102000598"</f>
        <v>201102000598</v>
      </c>
    </row>
    <row r="3098" spans="1:2" x14ac:dyDescent="0.25">
      <c r="A3098" s="3">
        <v>3093</v>
      </c>
      <c r="B3098" s="3" t="str">
        <f>"201103000124"</f>
        <v>201103000124</v>
      </c>
    </row>
    <row r="3099" spans="1:2" x14ac:dyDescent="0.25">
      <c r="A3099" s="3">
        <v>3094</v>
      </c>
      <c r="B3099" s="3" t="str">
        <f>"201105000177"</f>
        <v>201105000177</v>
      </c>
    </row>
    <row r="3100" spans="1:2" x14ac:dyDescent="0.25">
      <c r="A3100" s="3">
        <v>3095</v>
      </c>
      <c r="B3100" s="3" t="str">
        <f>"201105000178"</f>
        <v>201105000178</v>
      </c>
    </row>
    <row r="3101" spans="1:2" x14ac:dyDescent="0.25">
      <c r="A3101" s="3">
        <v>3096</v>
      </c>
      <c r="B3101" s="3" t="str">
        <f>"201109000144"</f>
        <v>201109000144</v>
      </c>
    </row>
    <row r="3102" spans="1:2" x14ac:dyDescent="0.25">
      <c r="A3102" s="3">
        <v>3097</v>
      </c>
      <c r="B3102" s="3" t="str">
        <f>"201110000059"</f>
        <v>201110000059</v>
      </c>
    </row>
    <row r="3103" spans="1:2" x14ac:dyDescent="0.25">
      <c r="A3103" s="3">
        <v>3098</v>
      </c>
      <c r="B3103" s="3" t="str">
        <f>"201201000001"</f>
        <v>201201000001</v>
      </c>
    </row>
    <row r="3104" spans="1:2" x14ac:dyDescent="0.25">
      <c r="A3104" s="3">
        <v>3099</v>
      </c>
      <c r="B3104" s="3" t="str">
        <f>"201201000023"</f>
        <v>201201000023</v>
      </c>
    </row>
    <row r="3105" spans="1:2" x14ac:dyDescent="0.25">
      <c r="A3105" s="3">
        <v>3100</v>
      </c>
      <c r="B3105" s="3" t="str">
        <f>"201201000050"</f>
        <v>201201000050</v>
      </c>
    </row>
    <row r="3106" spans="1:2" x14ac:dyDescent="0.25">
      <c r="A3106" s="3">
        <v>3101</v>
      </c>
      <c r="B3106" s="3" t="str">
        <f>"201202000125"</f>
        <v>201202000125</v>
      </c>
    </row>
    <row r="3107" spans="1:2" x14ac:dyDescent="0.25">
      <c r="A3107" s="3">
        <v>3102</v>
      </c>
      <c r="B3107" s="3" t="str">
        <f>"201207000052"</f>
        <v>201207000052</v>
      </c>
    </row>
    <row r="3108" spans="1:2" x14ac:dyDescent="0.25">
      <c r="A3108" s="3">
        <v>3103</v>
      </c>
      <c r="B3108" s="3" t="str">
        <f>"201208000008"</f>
        <v>201208000008</v>
      </c>
    </row>
    <row r="3109" spans="1:2" x14ac:dyDescent="0.25">
      <c r="A3109" s="3">
        <v>3104</v>
      </c>
      <c r="B3109" s="3" t="str">
        <f>"201208000052"</f>
        <v>201208000052</v>
      </c>
    </row>
    <row r="3110" spans="1:2" x14ac:dyDescent="0.25">
      <c r="A3110" s="3">
        <v>3105</v>
      </c>
      <c r="B3110" s="3" t="str">
        <f>"201209000160"</f>
        <v>201209000160</v>
      </c>
    </row>
    <row r="3111" spans="1:2" x14ac:dyDescent="0.25">
      <c r="A3111" s="3">
        <v>3106</v>
      </c>
      <c r="B3111" s="3" t="str">
        <f>"201212000038"</f>
        <v>201212000038</v>
      </c>
    </row>
    <row r="3112" spans="1:2" x14ac:dyDescent="0.25">
      <c r="A3112" s="3">
        <v>3107</v>
      </c>
      <c r="B3112" s="3" t="str">
        <f>"201303000495"</f>
        <v>201303000495</v>
      </c>
    </row>
    <row r="3113" spans="1:2" x14ac:dyDescent="0.25">
      <c r="A3113" s="3">
        <v>3108</v>
      </c>
      <c r="B3113" s="3" t="str">
        <f>"201303000704"</f>
        <v>201303000704</v>
      </c>
    </row>
    <row r="3114" spans="1:2" x14ac:dyDescent="0.25">
      <c r="A3114" s="3">
        <v>3109</v>
      </c>
      <c r="B3114" s="3" t="str">
        <f>"201303000717"</f>
        <v>201303000717</v>
      </c>
    </row>
    <row r="3115" spans="1:2" x14ac:dyDescent="0.25">
      <c r="A3115" s="3">
        <v>3110</v>
      </c>
      <c r="B3115" s="3" t="str">
        <f>"201303000920"</f>
        <v>201303000920</v>
      </c>
    </row>
    <row r="3116" spans="1:2" x14ac:dyDescent="0.25">
      <c r="A3116" s="3">
        <v>3111</v>
      </c>
      <c r="B3116" s="3" t="str">
        <f>"201303000980"</f>
        <v>201303000980</v>
      </c>
    </row>
    <row r="3117" spans="1:2" x14ac:dyDescent="0.25">
      <c r="A3117" s="3">
        <v>3112</v>
      </c>
      <c r="B3117" s="3" t="str">
        <f>"201304001432"</f>
        <v>201304001432</v>
      </c>
    </row>
    <row r="3118" spans="1:2" x14ac:dyDescent="0.25">
      <c r="A3118" s="3">
        <v>3113</v>
      </c>
      <c r="B3118" s="3" t="str">
        <f>"201304001826"</f>
        <v>201304001826</v>
      </c>
    </row>
    <row r="3119" spans="1:2" x14ac:dyDescent="0.25">
      <c r="A3119" s="3">
        <v>3114</v>
      </c>
      <c r="B3119" s="3" t="str">
        <f>"201304002237"</f>
        <v>201304002237</v>
      </c>
    </row>
    <row r="3120" spans="1:2" x14ac:dyDescent="0.25">
      <c r="A3120" s="3">
        <v>3115</v>
      </c>
      <c r="B3120" s="3" t="str">
        <f>"201304002241"</f>
        <v>201304002241</v>
      </c>
    </row>
    <row r="3121" spans="1:2" x14ac:dyDescent="0.25">
      <c r="A3121" s="3">
        <v>3116</v>
      </c>
      <c r="B3121" s="3" t="str">
        <f>"201304002590"</f>
        <v>201304002590</v>
      </c>
    </row>
    <row r="3122" spans="1:2" x14ac:dyDescent="0.25">
      <c r="A3122" s="3">
        <v>3117</v>
      </c>
      <c r="B3122" s="3" t="str">
        <f>"201304002708"</f>
        <v>201304002708</v>
      </c>
    </row>
    <row r="3123" spans="1:2" x14ac:dyDescent="0.25">
      <c r="A3123" s="3">
        <v>3118</v>
      </c>
      <c r="B3123" s="3" t="str">
        <f>"201304003068"</f>
        <v>201304003068</v>
      </c>
    </row>
    <row r="3124" spans="1:2" x14ac:dyDescent="0.25">
      <c r="A3124" s="3">
        <v>3119</v>
      </c>
      <c r="B3124" s="3" t="str">
        <f>"201304003441"</f>
        <v>201304003441</v>
      </c>
    </row>
    <row r="3125" spans="1:2" x14ac:dyDescent="0.25">
      <c r="A3125" s="3">
        <v>3120</v>
      </c>
      <c r="B3125" s="3" t="str">
        <f>"201304003542"</f>
        <v>201304003542</v>
      </c>
    </row>
    <row r="3126" spans="1:2" x14ac:dyDescent="0.25">
      <c r="A3126" s="3">
        <v>3121</v>
      </c>
      <c r="B3126" s="3" t="str">
        <f>"201304004164"</f>
        <v>201304004164</v>
      </c>
    </row>
    <row r="3127" spans="1:2" x14ac:dyDescent="0.25">
      <c r="A3127" s="3">
        <v>3122</v>
      </c>
      <c r="B3127" s="3" t="str">
        <f>"201304004650"</f>
        <v>201304004650</v>
      </c>
    </row>
    <row r="3128" spans="1:2" x14ac:dyDescent="0.25">
      <c r="A3128" s="3">
        <v>3123</v>
      </c>
      <c r="B3128" s="3" t="str">
        <f>"201304005129"</f>
        <v>201304005129</v>
      </c>
    </row>
    <row r="3129" spans="1:2" x14ac:dyDescent="0.25">
      <c r="A3129" s="3">
        <v>3124</v>
      </c>
      <c r="B3129" s="3" t="str">
        <f>"201304005259"</f>
        <v>201304005259</v>
      </c>
    </row>
    <row r="3130" spans="1:2" x14ac:dyDescent="0.25">
      <c r="A3130" s="3">
        <v>3125</v>
      </c>
      <c r="B3130" s="3" t="str">
        <f>"201304005652"</f>
        <v>201304005652</v>
      </c>
    </row>
    <row r="3131" spans="1:2" x14ac:dyDescent="0.25">
      <c r="A3131" s="3">
        <v>3126</v>
      </c>
      <c r="B3131" s="3" t="str">
        <f>"201304006624"</f>
        <v>201304006624</v>
      </c>
    </row>
    <row r="3132" spans="1:2" x14ac:dyDescent="0.25">
      <c r="A3132" s="3">
        <v>3127</v>
      </c>
      <c r="B3132" s="3" t="str">
        <f>"201306000086"</f>
        <v>201306000086</v>
      </c>
    </row>
    <row r="3133" spans="1:2" x14ac:dyDescent="0.25">
      <c r="A3133" s="3">
        <v>3128</v>
      </c>
      <c r="B3133" s="3" t="str">
        <f>"201307000061"</f>
        <v>201307000061</v>
      </c>
    </row>
    <row r="3134" spans="1:2" x14ac:dyDescent="0.25">
      <c r="A3134" s="3">
        <v>3129</v>
      </c>
      <c r="B3134" s="3" t="str">
        <f>"201308000076"</f>
        <v>201308000076</v>
      </c>
    </row>
    <row r="3135" spans="1:2" x14ac:dyDescent="0.25">
      <c r="A3135" s="3">
        <v>3130</v>
      </c>
      <c r="B3135" s="3" t="str">
        <f>"201310000075"</f>
        <v>201310000075</v>
      </c>
    </row>
    <row r="3136" spans="1:2" x14ac:dyDescent="0.25">
      <c r="A3136" s="3">
        <v>3131</v>
      </c>
      <c r="B3136" s="3" t="str">
        <f>"201401000324"</f>
        <v>201401000324</v>
      </c>
    </row>
    <row r="3137" spans="1:2" x14ac:dyDescent="0.25">
      <c r="A3137" s="3">
        <v>3132</v>
      </c>
      <c r="B3137" s="3" t="str">
        <f>"201401000419"</f>
        <v>201401000419</v>
      </c>
    </row>
    <row r="3138" spans="1:2" x14ac:dyDescent="0.25">
      <c r="A3138" s="3">
        <v>3133</v>
      </c>
      <c r="B3138" s="3" t="str">
        <f>"201401000489"</f>
        <v>201401000489</v>
      </c>
    </row>
    <row r="3139" spans="1:2" x14ac:dyDescent="0.25">
      <c r="A3139" s="3">
        <v>3134</v>
      </c>
      <c r="B3139" s="3" t="str">
        <f>"201401001059"</f>
        <v>201401001059</v>
      </c>
    </row>
    <row r="3140" spans="1:2" x14ac:dyDescent="0.25">
      <c r="A3140" s="3">
        <v>3135</v>
      </c>
      <c r="B3140" s="3" t="str">
        <f>"201401001369"</f>
        <v>201401001369</v>
      </c>
    </row>
    <row r="3141" spans="1:2" x14ac:dyDescent="0.25">
      <c r="A3141" s="3">
        <v>3136</v>
      </c>
      <c r="B3141" s="3" t="str">
        <f>"201401002005"</f>
        <v>201401002005</v>
      </c>
    </row>
    <row r="3142" spans="1:2" x14ac:dyDescent="0.25">
      <c r="A3142" s="3">
        <v>3137</v>
      </c>
      <c r="B3142" s="3" t="str">
        <f>"201401002102"</f>
        <v>201401002102</v>
      </c>
    </row>
    <row r="3143" spans="1:2" x14ac:dyDescent="0.25">
      <c r="A3143" s="3">
        <v>3138</v>
      </c>
      <c r="B3143" s="3" t="str">
        <f>"201401002173"</f>
        <v>201401002173</v>
      </c>
    </row>
    <row r="3144" spans="1:2" x14ac:dyDescent="0.25">
      <c r="A3144" s="3">
        <v>3139</v>
      </c>
      <c r="B3144" s="3" t="str">
        <f>"201401002278"</f>
        <v>201401002278</v>
      </c>
    </row>
    <row r="3145" spans="1:2" x14ac:dyDescent="0.25">
      <c r="A3145" s="3">
        <v>3140</v>
      </c>
      <c r="B3145" s="3" t="str">
        <f>"201402000508"</f>
        <v>201402000508</v>
      </c>
    </row>
    <row r="3146" spans="1:2" x14ac:dyDescent="0.25">
      <c r="A3146" s="3">
        <v>3141</v>
      </c>
      <c r="B3146" s="3" t="str">
        <f>"201402000749"</f>
        <v>201402000749</v>
      </c>
    </row>
    <row r="3147" spans="1:2" x14ac:dyDescent="0.25">
      <c r="A3147" s="3">
        <v>3142</v>
      </c>
      <c r="B3147" s="3" t="str">
        <f>"201402001036"</f>
        <v>201402001036</v>
      </c>
    </row>
    <row r="3148" spans="1:2" x14ac:dyDescent="0.25">
      <c r="A3148" s="3">
        <v>3143</v>
      </c>
      <c r="B3148" s="3" t="str">
        <f>"201402001315"</f>
        <v>201402001315</v>
      </c>
    </row>
    <row r="3149" spans="1:2" x14ac:dyDescent="0.25">
      <c r="A3149" s="3">
        <v>3144</v>
      </c>
      <c r="B3149" s="3" t="str">
        <f>"201402001367"</f>
        <v>201402001367</v>
      </c>
    </row>
    <row r="3150" spans="1:2" x14ac:dyDescent="0.25">
      <c r="A3150" s="3">
        <v>3145</v>
      </c>
      <c r="B3150" s="3" t="str">
        <f>"201402001396"</f>
        <v>201402001396</v>
      </c>
    </row>
    <row r="3151" spans="1:2" x14ac:dyDescent="0.25">
      <c r="A3151" s="3">
        <v>3146</v>
      </c>
      <c r="B3151" s="3" t="str">
        <f>"201402001671"</f>
        <v>201402001671</v>
      </c>
    </row>
    <row r="3152" spans="1:2" x14ac:dyDescent="0.25">
      <c r="A3152" s="3">
        <v>3147</v>
      </c>
      <c r="B3152" s="3" t="str">
        <f>"201402001829"</f>
        <v>201402001829</v>
      </c>
    </row>
    <row r="3153" spans="1:2" x14ac:dyDescent="0.25">
      <c r="A3153" s="3">
        <v>3148</v>
      </c>
      <c r="B3153" s="3" t="str">
        <f>"201402002389"</f>
        <v>201402002389</v>
      </c>
    </row>
    <row r="3154" spans="1:2" x14ac:dyDescent="0.25">
      <c r="A3154" s="3">
        <v>3149</v>
      </c>
      <c r="B3154" s="3" t="str">
        <f>"201402002614"</f>
        <v>201402002614</v>
      </c>
    </row>
    <row r="3155" spans="1:2" x14ac:dyDescent="0.25">
      <c r="A3155" s="3">
        <v>3150</v>
      </c>
      <c r="B3155" s="3" t="str">
        <f>"201402003213"</f>
        <v>201402003213</v>
      </c>
    </row>
    <row r="3156" spans="1:2" x14ac:dyDescent="0.25">
      <c r="A3156" s="3">
        <v>3151</v>
      </c>
      <c r="B3156" s="3" t="str">
        <f>"201402003504"</f>
        <v>201402003504</v>
      </c>
    </row>
    <row r="3157" spans="1:2" x14ac:dyDescent="0.25">
      <c r="A3157" s="3">
        <v>3152</v>
      </c>
      <c r="B3157" s="3" t="str">
        <f>"201402004419"</f>
        <v>201402004419</v>
      </c>
    </row>
    <row r="3158" spans="1:2" x14ac:dyDescent="0.25">
      <c r="A3158" s="3">
        <v>3153</v>
      </c>
      <c r="B3158" s="3" t="str">
        <f>"201402004438"</f>
        <v>201402004438</v>
      </c>
    </row>
    <row r="3159" spans="1:2" x14ac:dyDescent="0.25">
      <c r="A3159" s="3">
        <v>3154</v>
      </c>
      <c r="B3159" s="3" t="str">
        <f>"201402004700"</f>
        <v>201402004700</v>
      </c>
    </row>
    <row r="3160" spans="1:2" x14ac:dyDescent="0.25">
      <c r="A3160" s="3">
        <v>3155</v>
      </c>
      <c r="B3160" s="3" t="str">
        <f>"201402005028"</f>
        <v>201402005028</v>
      </c>
    </row>
    <row r="3161" spans="1:2" x14ac:dyDescent="0.25">
      <c r="A3161" s="3">
        <v>3156</v>
      </c>
      <c r="B3161" s="3" t="str">
        <f>"201402006070"</f>
        <v>201402006070</v>
      </c>
    </row>
    <row r="3162" spans="1:2" x14ac:dyDescent="0.25">
      <c r="A3162" s="3">
        <v>3157</v>
      </c>
      <c r="B3162" s="3" t="str">
        <f>"201402006141"</f>
        <v>201402006141</v>
      </c>
    </row>
    <row r="3163" spans="1:2" x14ac:dyDescent="0.25">
      <c r="A3163" s="3">
        <v>3158</v>
      </c>
      <c r="B3163" s="3" t="str">
        <f>"201402006406"</f>
        <v>201402006406</v>
      </c>
    </row>
    <row r="3164" spans="1:2" x14ac:dyDescent="0.25">
      <c r="A3164" s="3">
        <v>3159</v>
      </c>
      <c r="B3164" s="3" t="str">
        <f>"201402006536"</f>
        <v>201402006536</v>
      </c>
    </row>
    <row r="3165" spans="1:2" x14ac:dyDescent="0.25">
      <c r="A3165" s="3">
        <v>3160</v>
      </c>
      <c r="B3165" s="3" t="str">
        <f>"201402007440"</f>
        <v>201402007440</v>
      </c>
    </row>
    <row r="3166" spans="1:2" x14ac:dyDescent="0.25">
      <c r="A3166" s="3">
        <v>3161</v>
      </c>
      <c r="B3166" s="3" t="str">
        <f>"201402007495"</f>
        <v>201402007495</v>
      </c>
    </row>
    <row r="3167" spans="1:2" x14ac:dyDescent="0.25">
      <c r="A3167" s="3">
        <v>3162</v>
      </c>
      <c r="B3167" s="3" t="str">
        <f>"201402009140"</f>
        <v>201402009140</v>
      </c>
    </row>
    <row r="3168" spans="1:2" x14ac:dyDescent="0.25">
      <c r="A3168" s="3">
        <v>3163</v>
      </c>
      <c r="B3168" s="3" t="str">
        <f>"201402009960"</f>
        <v>201402009960</v>
      </c>
    </row>
    <row r="3169" spans="1:2" x14ac:dyDescent="0.25">
      <c r="A3169" s="3">
        <v>3164</v>
      </c>
      <c r="B3169" s="3" t="str">
        <f>"201402010733"</f>
        <v>201402010733</v>
      </c>
    </row>
    <row r="3170" spans="1:2" x14ac:dyDescent="0.25">
      <c r="A3170" s="3">
        <v>3165</v>
      </c>
      <c r="B3170" s="3" t="str">
        <f>"201402011658"</f>
        <v>201402011658</v>
      </c>
    </row>
    <row r="3171" spans="1:2" x14ac:dyDescent="0.25">
      <c r="A3171" s="3">
        <v>3166</v>
      </c>
      <c r="B3171" s="3" t="str">
        <f>"201402012035"</f>
        <v>201402012035</v>
      </c>
    </row>
    <row r="3172" spans="1:2" x14ac:dyDescent="0.25">
      <c r="A3172" s="3">
        <v>3167</v>
      </c>
      <c r="B3172" s="3" t="str">
        <f>"201402012074"</f>
        <v>201402012074</v>
      </c>
    </row>
    <row r="3173" spans="1:2" x14ac:dyDescent="0.25">
      <c r="A3173" s="3">
        <v>3168</v>
      </c>
      <c r="B3173" s="3" t="str">
        <f>"201402012177"</f>
        <v>201402012177</v>
      </c>
    </row>
    <row r="3174" spans="1:2" x14ac:dyDescent="0.25">
      <c r="A3174" s="3">
        <v>3169</v>
      </c>
      <c r="B3174" s="3" t="str">
        <f>"201402012239"</f>
        <v>201402012239</v>
      </c>
    </row>
    <row r="3175" spans="1:2" x14ac:dyDescent="0.25">
      <c r="A3175" s="3">
        <v>3170</v>
      </c>
      <c r="B3175" s="3" t="str">
        <f>"201402012332"</f>
        <v>201402012332</v>
      </c>
    </row>
    <row r="3176" spans="1:2" x14ac:dyDescent="0.25">
      <c r="A3176" s="3">
        <v>3171</v>
      </c>
      <c r="B3176" s="3" t="str">
        <f>"201402012347"</f>
        <v>201402012347</v>
      </c>
    </row>
    <row r="3177" spans="1:2" x14ac:dyDescent="0.25">
      <c r="A3177" s="3">
        <v>3172</v>
      </c>
      <c r="B3177" s="3" t="str">
        <f>"201402012377"</f>
        <v>201402012377</v>
      </c>
    </row>
    <row r="3178" spans="1:2" x14ac:dyDescent="0.25">
      <c r="A3178" s="3">
        <v>3173</v>
      </c>
      <c r="B3178" s="3" t="str">
        <f>"201403000148"</f>
        <v>201403000148</v>
      </c>
    </row>
    <row r="3179" spans="1:2" x14ac:dyDescent="0.25">
      <c r="A3179" s="3">
        <v>3174</v>
      </c>
      <c r="B3179" s="3" t="str">
        <f>"201405000312"</f>
        <v>201405000312</v>
      </c>
    </row>
    <row r="3180" spans="1:2" x14ac:dyDescent="0.25">
      <c r="A3180" s="3">
        <v>3175</v>
      </c>
      <c r="B3180" s="3" t="str">
        <f>"201405000326"</f>
        <v>201405000326</v>
      </c>
    </row>
    <row r="3181" spans="1:2" x14ac:dyDescent="0.25">
      <c r="A3181" s="3">
        <v>3176</v>
      </c>
      <c r="B3181" s="3" t="str">
        <f>"201405000646"</f>
        <v>201405000646</v>
      </c>
    </row>
    <row r="3182" spans="1:2" x14ac:dyDescent="0.25">
      <c r="A3182" s="3">
        <v>3177</v>
      </c>
      <c r="B3182" s="3" t="str">
        <f>"201405000747"</f>
        <v>201405000747</v>
      </c>
    </row>
    <row r="3183" spans="1:2" x14ac:dyDescent="0.25">
      <c r="A3183" s="3">
        <v>3178</v>
      </c>
      <c r="B3183" s="3" t="str">
        <f>"201405001330"</f>
        <v>201405001330</v>
      </c>
    </row>
    <row r="3184" spans="1:2" x14ac:dyDescent="0.25">
      <c r="A3184" s="3">
        <v>3179</v>
      </c>
      <c r="B3184" s="3" t="str">
        <f>"201405002155"</f>
        <v>201405002155</v>
      </c>
    </row>
    <row r="3185" spans="1:2" x14ac:dyDescent="0.25">
      <c r="A3185" s="3">
        <v>3180</v>
      </c>
      <c r="B3185" s="3" t="str">
        <f>"201405002325"</f>
        <v>201405002325</v>
      </c>
    </row>
    <row r="3186" spans="1:2" x14ac:dyDescent="0.25">
      <c r="A3186" s="3">
        <v>3181</v>
      </c>
      <c r="B3186" s="3" t="str">
        <f>"201406000268"</f>
        <v>201406000268</v>
      </c>
    </row>
    <row r="3187" spans="1:2" x14ac:dyDescent="0.25">
      <c r="A3187" s="3">
        <v>3182</v>
      </c>
      <c r="B3187" s="3" t="str">
        <f>"201406001145"</f>
        <v>201406001145</v>
      </c>
    </row>
    <row r="3188" spans="1:2" x14ac:dyDescent="0.25">
      <c r="A3188" s="3">
        <v>3183</v>
      </c>
      <c r="B3188" s="3" t="str">
        <f>"201406001152"</f>
        <v>201406001152</v>
      </c>
    </row>
    <row r="3189" spans="1:2" x14ac:dyDescent="0.25">
      <c r="A3189" s="3">
        <v>3184</v>
      </c>
      <c r="B3189" s="3" t="str">
        <f>"201406001369"</f>
        <v>201406001369</v>
      </c>
    </row>
    <row r="3190" spans="1:2" x14ac:dyDescent="0.25">
      <c r="A3190" s="3">
        <v>3185</v>
      </c>
      <c r="B3190" s="3" t="str">
        <f>"201406001810"</f>
        <v>201406001810</v>
      </c>
    </row>
    <row r="3191" spans="1:2" x14ac:dyDescent="0.25">
      <c r="A3191" s="3">
        <v>3186</v>
      </c>
      <c r="B3191" s="3" t="str">
        <f>"201406002556"</f>
        <v>201406002556</v>
      </c>
    </row>
    <row r="3192" spans="1:2" x14ac:dyDescent="0.25">
      <c r="A3192" s="3">
        <v>3187</v>
      </c>
      <c r="B3192" s="3" t="str">
        <f>"201406002748"</f>
        <v>201406002748</v>
      </c>
    </row>
    <row r="3193" spans="1:2" x14ac:dyDescent="0.25">
      <c r="A3193" s="3">
        <v>3188</v>
      </c>
      <c r="B3193" s="3" t="str">
        <f>"201406002832"</f>
        <v>201406002832</v>
      </c>
    </row>
    <row r="3194" spans="1:2" x14ac:dyDescent="0.25">
      <c r="A3194" s="3">
        <v>3189</v>
      </c>
      <c r="B3194" s="3" t="str">
        <f>"201406002908"</f>
        <v>201406002908</v>
      </c>
    </row>
    <row r="3195" spans="1:2" x14ac:dyDescent="0.25">
      <c r="A3195" s="3">
        <v>3190</v>
      </c>
      <c r="B3195" s="3" t="str">
        <f>"201406003149"</f>
        <v>201406003149</v>
      </c>
    </row>
    <row r="3196" spans="1:2" x14ac:dyDescent="0.25">
      <c r="A3196" s="3">
        <v>3191</v>
      </c>
      <c r="B3196" s="3" t="str">
        <f>"201406003266"</f>
        <v>201406003266</v>
      </c>
    </row>
    <row r="3197" spans="1:2" x14ac:dyDescent="0.25">
      <c r="A3197" s="3">
        <v>3192</v>
      </c>
      <c r="B3197" s="3" t="str">
        <f>"201406003596"</f>
        <v>201406003596</v>
      </c>
    </row>
    <row r="3198" spans="1:2" x14ac:dyDescent="0.25">
      <c r="A3198" s="3">
        <v>3193</v>
      </c>
      <c r="B3198" s="3" t="str">
        <f>"201406003687"</f>
        <v>201406003687</v>
      </c>
    </row>
    <row r="3199" spans="1:2" x14ac:dyDescent="0.25">
      <c r="A3199" s="3">
        <v>3194</v>
      </c>
      <c r="B3199" s="3" t="str">
        <f>"201406003815"</f>
        <v>201406003815</v>
      </c>
    </row>
    <row r="3200" spans="1:2" x14ac:dyDescent="0.25">
      <c r="A3200" s="3">
        <v>3195</v>
      </c>
      <c r="B3200" s="3" t="str">
        <f>"201406003832"</f>
        <v>201406003832</v>
      </c>
    </row>
    <row r="3201" spans="1:2" x14ac:dyDescent="0.25">
      <c r="A3201" s="3">
        <v>3196</v>
      </c>
      <c r="B3201" s="3" t="str">
        <f>"201406003835"</f>
        <v>201406003835</v>
      </c>
    </row>
    <row r="3202" spans="1:2" x14ac:dyDescent="0.25">
      <c r="A3202" s="3">
        <v>3197</v>
      </c>
      <c r="B3202" s="3" t="str">
        <f>"201406003870"</f>
        <v>201406003870</v>
      </c>
    </row>
    <row r="3203" spans="1:2" x14ac:dyDescent="0.25">
      <c r="A3203" s="3">
        <v>3198</v>
      </c>
      <c r="B3203" s="3" t="str">
        <f>"201406003931"</f>
        <v>201406003931</v>
      </c>
    </row>
    <row r="3204" spans="1:2" x14ac:dyDescent="0.25">
      <c r="A3204" s="3">
        <v>3199</v>
      </c>
      <c r="B3204" s="3" t="str">
        <f>"201406004230"</f>
        <v>201406004230</v>
      </c>
    </row>
    <row r="3205" spans="1:2" x14ac:dyDescent="0.25">
      <c r="A3205" s="3">
        <v>3200</v>
      </c>
      <c r="B3205" s="3" t="str">
        <f>"201406004486"</f>
        <v>201406004486</v>
      </c>
    </row>
    <row r="3206" spans="1:2" x14ac:dyDescent="0.25">
      <c r="A3206" s="3">
        <v>3201</v>
      </c>
      <c r="B3206" s="3" t="str">
        <f>"201406004728"</f>
        <v>201406004728</v>
      </c>
    </row>
    <row r="3207" spans="1:2" x14ac:dyDescent="0.25">
      <c r="A3207" s="3">
        <v>3202</v>
      </c>
      <c r="B3207" s="3" t="str">
        <f>"201406004904"</f>
        <v>201406004904</v>
      </c>
    </row>
    <row r="3208" spans="1:2" x14ac:dyDescent="0.25">
      <c r="A3208" s="3">
        <v>3203</v>
      </c>
      <c r="B3208" s="3" t="str">
        <f>"201406005195"</f>
        <v>201406005195</v>
      </c>
    </row>
    <row r="3209" spans="1:2" x14ac:dyDescent="0.25">
      <c r="A3209" s="3">
        <v>3204</v>
      </c>
      <c r="B3209" s="3" t="str">
        <f>"201406006035"</f>
        <v>201406006035</v>
      </c>
    </row>
    <row r="3210" spans="1:2" x14ac:dyDescent="0.25">
      <c r="A3210" s="3">
        <v>3205</v>
      </c>
      <c r="B3210" s="3" t="str">
        <f>"201406006330"</f>
        <v>201406006330</v>
      </c>
    </row>
    <row r="3211" spans="1:2" x14ac:dyDescent="0.25">
      <c r="A3211" s="3">
        <v>3206</v>
      </c>
      <c r="B3211" s="3" t="str">
        <f>"201406006763"</f>
        <v>201406006763</v>
      </c>
    </row>
    <row r="3212" spans="1:2" x14ac:dyDescent="0.25">
      <c r="A3212" s="3">
        <v>3207</v>
      </c>
      <c r="B3212" s="3" t="str">
        <f>"201406007207"</f>
        <v>201406007207</v>
      </c>
    </row>
    <row r="3213" spans="1:2" x14ac:dyDescent="0.25">
      <c r="A3213" s="3">
        <v>3208</v>
      </c>
      <c r="B3213" s="3" t="str">
        <f>"201406007216"</f>
        <v>201406007216</v>
      </c>
    </row>
    <row r="3214" spans="1:2" x14ac:dyDescent="0.25">
      <c r="A3214" s="3">
        <v>3209</v>
      </c>
      <c r="B3214" s="3" t="str">
        <f>"201406007301"</f>
        <v>201406007301</v>
      </c>
    </row>
    <row r="3215" spans="1:2" x14ac:dyDescent="0.25">
      <c r="A3215" s="3">
        <v>3210</v>
      </c>
      <c r="B3215" s="3" t="str">
        <f>"201406008015"</f>
        <v>201406008015</v>
      </c>
    </row>
    <row r="3216" spans="1:2" x14ac:dyDescent="0.25">
      <c r="A3216" s="3">
        <v>3211</v>
      </c>
      <c r="B3216" s="3" t="str">
        <f>"201406008049"</f>
        <v>201406008049</v>
      </c>
    </row>
    <row r="3217" spans="1:2" x14ac:dyDescent="0.25">
      <c r="A3217" s="3">
        <v>3212</v>
      </c>
      <c r="B3217" s="3" t="str">
        <f>"201406008160"</f>
        <v>201406008160</v>
      </c>
    </row>
    <row r="3218" spans="1:2" x14ac:dyDescent="0.25">
      <c r="A3218" s="3">
        <v>3213</v>
      </c>
      <c r="B3218" s="3" t="str">
        <f>"201406008432"</f>
        <v>201406008432</v>
      </c>
    </row>
    <row r="3219" spans="1:2" x14ac:dyDescent="0.25">
      <c r="A3219" s="3">
        <v>3214</v>
      </c>
      <c r="B3219" s="3" t="str">
        <f>"201406009157"</f>
        <v>201406009157</v>
      </c>
    </row>
    <row r="3220" spans="1:2" x14ac:dyDescent="0.25">
      <c r="A3220" s="3">
        <v>3215</v>
      </c>
      <c r="B3220" s="3" t="str">
        <f>"201406009635"</f>
        <v>201406009635</v>
      </c>
    </row>
    <row r="3221" spans="1:2" x14ac:dyDescent="0.25">
      <c r="A3221" s="3">
        <v>3216</v>
      </c>
      <c r="B3221" s="3" t="str">
        <f>"201406010241"</f>
        <v>201406010241</v>
      </c>
    </row>
    <row r="3222" spans="1:2" x14ac:dyDescent="0.25">
      <c r="A3222" s="3">
        <v>3217</v>
      </c>
      <c r="B3222" s="3" t="str">
        <f>"201406010392"</f>
        <v>201406010392</v>
      </c>
    </row>
    <row r="3223" spans="1:2" x14ac:dyDescent="0.25">
      <c r="A3223" s="3">
        <v>3218</v>
      </c>
      <c r="B3223" s="3" t="str">
        <f>"201406010533"</f>
        <v>201406010533</v>
      </c>
    </row>
    <row r="3224" spans="1:2" x14ac:dyDescent="0.25">
      <c r="A3224" s="3">
        <v>3219</v>
      </c>
      <c r="B3224" s="3" t="str">
        <f>"201406010534"</f>
        <v>201406010534</v>
      </c>
    </row>
    <row r="3225" spans="1:2" x14ac:dyDescent="0.25">
      <c r="A3225" s="3">
        <v>3220</v>
      </c>
      <c r="B3225" s="3" t="str">
        <f>"201406010893"</f>
        <v>201406010893</v>
      </c>
    </row>
    <row r="3226" spans="1:2" x14ac:dyDescent="0.25">
      <c r="A3226" s="3">
        <v>3221</v>
      </c>
      <c r="B3226" s="3" t="str">
        <f>"201406011028"</f>
        <v>201406011028</v>
      </c>
    </row>
    <row r="3227" spans="1:2" x14ac:dyDescent="0.25">
      <c r="A3227" s="3">
        <v>3222</v>
      </c>
      <c r="B3227" s="3" t="str">
        <f>"201406011200"</f>
        <v>201406011200</v>
      </c>
    </row>
    <row r="3228" spans="1:2" x14ac:dyDescent="0.25">
      <c r="A3228" s="3">
        <v>3223</v>
      </c>
      <c r="B3228" s="3" t="str">
        <f>"201406011215"</f>
        <v>201406011215</v>
      </c>
    </row>
    <row r="3229" spans="1:2" x14ac:dyDescent="0.25">
      <c r="A3229" s="3">
        <v>3224</v>
      </c>
      <c r="B3229" s="3" t="str">
        <f>"201406011237"</f>
        <v>201406011237</v>
      </c>
    </row>
    <row r="3230" spans="1:2" x14ac:dyDescent="0.25">
      <c r="A3230" s="3">
        <v>3225</v>
      </c>
      <c r="B3230" s="3" t="str">
        <f>"201406011352"</f>
        <v>201406011352</v>
      </c>
    </row>
    <row r="3231" spans="1:2" x14ac:dyDescent="0.25">
      <c r="A3231" s="3">
        <v>3226</v>
      </c>
      <c r="B3231" s="3" t="str">
        <f>"201406012222"</f>
        <v>201406012222</v>
      </c>
    </row>
    <row r="3232" spans="1:2" x14ac:dyDescent="0.25">
      <c r="A3232" s="3">
        <v>3227</v>
      </c>
      <c r="B3232" s="3" t="str">
        <f>"201406012380"</f>
        <v>201406012380</v>
      </c>
    </row>
    <row r="3233" spans="1:2" x14ac:dyDescent="0.25">
      <c r="A3233" s="3">
        <v>3228</v>
      </c>
      <c r="B3233" s="3" t="str">
        <f>"201406012402"</f>
        <v>201406012402</v>
      </c>
    </row>
    <row r="3234" spans="1:2" x14ac:dyDescent="0.25">
      <c r="A3234" s="3">
        <v>3229</v>
      </c>
      <c r="B3234" s="3" t="str">
        <f>"201406012451"</f>
        <v>201406012451</v>
      </c>
    </row>
    <row r="3235" spans="1:2" x14ac:dyDescent="0.25">
      <c r="A3235" s="3">
        <v>3230</v>
      </c>
      <c r="B3235" s="3" t="str">
        <f>"201406012517"</f>
        <v>201406012517</v>
      </c>
    </row>
    <row r="3236" spans="1:2" x14ac:dyDescent="0.25">
      <c r="A3236" s="3">
        <v>3231</v>
      </c>
      <c r="B3236" s="3" t="str">
        <f>"201406013391"</f>
        <v>201406013391</v>
      </c>
    </row>
    <row r="3237" spans="1:2" x14ac:dyDescent="0.25">
      <c r="A3237" s="3">
        <v>3232</v>
      </c>
      <c r="B3237" s="3" t="str">
        <f>"201406013977"</f>
        <v>201406013977</v>
      </c>
    </row>
    <row r="3238" spans="1:2" x14ac:dyDescent="0.25">
      <c r="A3238" s="3">
        <v>3233</v>
      </c>
      <c r="B3238" s="3" t="str">
        <f>"201406014143"</f>
        <v>201406014143</v>
      </c>
    </row>
    <row r="3239" spans="1:2" x14ac:dyDescent="0.25">
      <c r="A3239" s="3">
        <v>3234</v>
      </c>
      <c r="B3239" s="3" t="str">
        <f>"201406014660"</f>
        <v>201406014660</v>
      </c>
    </row>
    <row r="3240" spans="1:2" x14ac:dyDescent="0.25">
      <c r="A3240" s="3">
        <v>3235</v>
      </c>
      <c r="B3240" s="3" t="str">
        <f>"201406014711"</f>
        <v>201406014711</v>
      </c>
    </row>
    <row r="3241" spans="1:2" x14ac:dyDescent="0.25">
      <c r="A3241" s="3">
        <v>3236</v>
      </c>
      <c r="B3241" s="3" t="str">
        <f>"201406014743"</f>
        <v>201406014743</v>
      </c>
    </row>
    <row r="3242" spans="1:2" x14ac:dyDescent="0.25">
      <c r="A3242" s="3">
        <v>3237</v>
      </c>
      <c r="B3242" s="3" t="str">
        <f>"201406015169"</f>
        <v>201406015169</v>
      </c>
    </row>
    <row r="3243" spans="1:2" x14ac:dyDescent="0.25">
      <c r="A3243" s="3">
        <v>3238</v>
      </c>
      <c r="B3243" s="3" t="str">
        <f>"201406015360"</f>
        <v>201406015360</v>
      </c>
    </row>
    <row r="3244" spans="1:2" x14ac:dyDescent="0.25">
      <c r="A3244" s="3">
        <v>3239</v>
      </c>
      <c r="B3244" s="3" t="str">
        <f>"201406015562"</f>
        <v>201406015562</v>
      </c>
    </row>
    <row r="3245" spans="1:2" x14ac:dyDescent="0.25">
      <c r="A3245" s="3">
        <v>3240</v>
      </c>
      <c r="B3245" s="3" t="str">
        <f>"201406015799"</f>
        <v>201406015799</v>
      </c>
    </row>
    <row r="3246" spans="1:2" x14ac:dyDescent="0.25">
      <c r="A3246" s="3">
        <v>3241</v>
      </c>
      <c r="B3246" s="3" t="str">
        <f>"201406015903"</f>
        <v>201406015903</v>
      </c>
    </row>
    <row r="3247" spans="1:2" x14ac:dyDescent="0.25">
      <c r="A3247" s="3">
        <v>3242</v>
      </c>
      <c r="B3247" s="3" t="str">
        <f>"201406017172"</f>
        <v>201406017172</v>
      </c>
    </row>
    <row r="3248" spans="1:2" x14ac:dyDescent="0.25">
      <c r="A3248" s="3">
        <v>3243</v>
      </c>
      <c r="B3248" s="3" t="str">
        <f>"201406017478"</f>
        <v>201406017478</v>
      </c>
    </row>
    <row r="3249" spans="1:2" x14ac:dyDescent="0.25">
      <c r="A3249" s="3">
        <v>3244</v>
      </c>
      <c r="B3249" s="3" t="str">
        <f>"201406017482"</f>
        <v>201406017482</v>
      </c>
    </row>
    <row r="3250" spans="1:2" x14ac:dyDescent="0.25">
      <c r="A3250" s="3">
        <v>3245</v>
      </c>
      <c r="B3250" s="3" t="str">
        <f>"201406017669"</f>
        <v>201406017669</v>
      </c>
    </row>
    <row r="3251" spans="1:2" x14ac:dyDescent="0.25">
      <c r="A3251" s="3">
        <v>3246</v>
      </c>
      <c r="B3251" s="3" t="str">
        <f>"201406017702"</f>
        <v>201406017702</v>
      </c>
    </row>
    <row r="3252" spans="1:2" x14ac:dyDescent="0.25">
      <c r="A3252" s="3">
        <v>3247</v>
      </c>
      <c r="B3252" s="3" t="str">
        <f>"201406018043"</f>
        <v>201406018043</v>
      </c>
    </row>
    <row r="3253" spans="1:2" x14ac:dyDescent="0.25">
      <c r="A3253" s="3">
        <v>3248</v>
      </c>
      <c r="B3253" s="3" t="str">
        <f>"201406018141"</f>
        <v>201406018141</v>
      </c>
    </row>
    <row r="3254" spans="1:2" x14ac:dyDescent="0.25">
      <c r="A3254" s="3">
        <v>3249</v>
      </c>
      <c r="B3254" s="3" t="str">
        <f>"201406018973"</f>
        <v>201406018973</v>
      </c>
    </row>
    <row r="3255" spans="1:2" x14ac:dyDescent="0.25">
      <c r="A3255" s="3">
        <v>3250</v>
      </c>
      <c r="B3255" s="3" t="str">
        <f>"201406019004"</f>
        <v>201406019004</v>
      </c>
    </row>
    <row r="3256" spans="1:2" x14ac:dyDescent="0.25">
      <c r="A3256" s="3">
        <v>3251</v>
      </c>
      <c r="B3256" s="3" t="str">
        <f>"201406019069"</f>
        <v>201406019069</v>
      </c>
    </row>
    <row r="3257" spans="1:2" x14ac:dyDescent="0.25">
      <c r="A3257" s="3">
        <v>3252</v>
      </c>
      <c r="B3257" s="3" t="str">
        <f>"201406019075"</f>
        <v>201406019075</v>
      </c>
    </row>
    <row r="3258" spans="1:2" x14ac:dyDescent="0.25">
      <c r="A3258" s="3">
        <v>3253</v>
      </c>
      <c r="B3258" s="3" t="str">
        <f>"201407000143"</f>
        <v>201407000143</v>
      </c>
    </row>
    <row r="3259" spans="1:2" x14ac:dyDescent="0.25">
      <c r="A3259" s="3">
        <v>3254</v>
      </c>
      <c r="B3259" s="3" t="str">
        <f>"201409000206"</f>
        <v>201409000206</v>
      </c>
    </row>
    <row r="3260" spans="1:2" x14ac:dyDescent="0.25">
      <c r="A3260" s="3">
        <v>3255</v>
      </c>
      <c r="B3260" s="3" t="str">
        <f>"201409001244"</f>
        <v>201409001244</v>
      </c>
    </row>
    <row r="3261" spans="1:2" x14ac:dyDescent="0.25">
      <c r="A3261" s="3">
        <v>3256</v>
      </c>
      <c r="B3261" s="3" t="str">
        <f>"201409002122"</f>
        <v>201409002122</v>
      </c>
    </row>
    <row r="3262" spans="1:2" x14ac:dyDescent="0.25">
      <c r="A3262" s="3">
        <v>3257</v>
      </c>
      <c r="B3262" s="3" t="str">
        <f>"201409002541"</f>
        <v>201409002541</v>
      </c>
    </row>
    <row r="3263" spans="1:2" x14ac:dyDescent="0.25">
      <c r="A3263" s="3">
        <v>3258</v>
      </c>
      <c r="B3263" s="3" t="str">
        <f>"201409002950"</f>
        <v>201409002950</v>
      </c>
    </row>
    <row r="3264" spans="1:2" x14ac:dyDescent="0.25">
      <c r="A3264" s="3">
        <v>3259</v>
      </c>
      <c r="B3264" s="3" t="str">
        <f>"201409002959"</f>
        <v>201409002959</v>
      </c>
    </row>
    <row r="3265" spans="1:2" x14ac:dyDescent="0.25">
      <c r="A3265" s="3">
        <v>3260</v>
      </c>
      <c r="B3265" s="3" t="str">
        <f>"201409003597"</f>
        <v>201409003597</v>
      </c>
    </row>
    <row r="3266" spans="1:2" x14ac:dyDescent="0.25">
      <c r="A3266" s="3">
        <v>3261</v>
      </c>
      <c r="B3266" s="3" t="str">
        <f>"201409004184"</f>
        <v>201409004184</v>
      </c>
    </row>
    <row r="3267" spans="1:2" x14ac:dyDescent="0.25">
      <c r="A3267" s="3">
        <v>3262</v>
      </c>
      <c r="B3267" s="3" t="str">
        <f>"201409004642"</f>
        <v>201409004642</v>
      </c>
    </row>
    <row r="3268" spans="1:2" x14ac:dyDescent="0.25">
      <c r="A3268" s="3">
        <v>3263</v>
      </c>
      <c r="B3268" s="3" t="str">
        <f>"201409005924"</f>
        <v>201409005924</v>
      </c>
    </row>
    <row r="3269" spans="1:2" x14ac:dyDescent="0.25">
      <c r="A3269" s="3">
        <v>3264</v>
      </c>
      <c r="B3269" s="3" t="str">
        <f>"201409007225"</f>
        <v>201409007225</v>
      </c>
    </row>
    <row r="3270" spans="1:2" x14ac:dyDescent="0.25">
      <c r="A3270" s="3">
        <v>3265</v>
      </c>
      <c r="B3270" s="3" t="str">
        <f>"201410000169"</f>
        <v>201410000169</v>
      </c>
    </row>
    <row r="3271" spans="1:2" x14ac:dyDescent="0.25">
      <c r="A3271" s="3">
        <v>3266</v>
      </c>
      <c r="B3271" s="3" t="str">
        <f>"201410000201"</f>
        <v>201410000201</v>
      </c>
    </row>
    <row r="3272" spans="1:2" x14ac:dyDescent="0.25">
      <c r="A3272" s="3">
        <v>3267</v>
      </c>
      <c r="B3272" s="3" t="str">
        <f>"201410001769"</f>
        <v>201410001769</v>
      </c>
    </row>
    <row r="3273" spans="1:2" x14ac:dyDescent="0.25">
      <c r="A3273" s="3">
        <v>3268</v>
      </c>
      <c r="B3273" s="3" t="str">
        <f>"201410003986"</f>
        <v>201410003986</v>
      </c>
    </row>
    <row r="3274" spans="1:2" x14ac:dyDescent="0.25">
      <c r="A3274" s="3">
        <v>3269</v>
      </c>
      <c r="B3274" s="3" t="str">
        <f>"201410005629"</f>
        <v>201410005629</v>
      </c>
    </row>
    <row r="3275" spans="1:2" x14ac:dyDescent="0.25">
      <c r="A3275" s="3">
        <v>3270</v>
      </c>
      <c r="B3275" s="3" t="str">
        <f>"201410006627"</f>
        <v>201410006627</v>
      </c>
    </row>
    <row r="3276" spans="1:2" x14ac:dyDescent="0.25">
      <c r="A3276" s="3">
        <v>3271</v>
      </c>
      <c r="B3276" s="3" t="str">
        <f>"201410007321"</f>
        <v>201410007321</v>
      </c>
    </row>
    <row r="3277" spans="1:2" x14ac:dyDescent="0.25">
      <c r="A3277" s="3">
        <v>3272</v>
      </c>
      <c r="B3277" s="3" t="str">
        <f>"201410008085"</f>
        <v>201410008085</v>
      </c>
    </row>
    <row r="3278" spans="1:2" x14ac:dyDescent="0.25">
      <c r="A3278" s="3">
        <v>3273</v>
      </c>
      <c r="B3278" s="3" t="str">
        <f>"201410009470"</f>
        <v>201410009470</v>
      </c>
    </row>
    <row r="3279" spans="1:2" x14ac:dyDescent="0.25">
      <c r="A3279" s="3">
        <v>3274</v>
      </c>
      <c r="B3279" s="3" t="str">
        <f>"201410011188"</f>
        <v>201410011188</v>
      </c>
    </row>
    <row r="3280" spans="1:2" x14ac:dyDescent="0.25">
      <c r="A3280" s="3">
        <v>3275</v>
      </c>
      <c r="B3280" s="3" t="str">
        <f>"201410012331"</f>
        <v>201410012331</v>
      </c>
    </row>
    <row r="3281" spans="1:2" x14ac:dyDescent="0.25">
      <c r="A3281" s="3">
        <v>3276</v>
      </c>
      <c r="B3281" s="3" t="str">
        <f>"201410012665"</f>
        <v>201410012665</v>
      </c>
    </row>
    <row r="3282" spans="1:2" x14ac:dyDescent="0.25">
      <c r="A3282" s="3">
        <v>3277</v>
      </c>
      <c r="B3282" s="3" t="str">
        <f>"201410012701"</f>
        <v>201410012701</v>
      </c>
    </row>
    <row r="3283" spans="1:2" x14ac:dyDescent="0.25">
      <c r="A3283" s="3">
        <v>3278</v>
      </c>
      <c r="B3283" s="3" t="str">
        <f>"201410012705"</f>
        <v>201410012705</v>
      </c>
    </row>
    <row r="3284" spans="1:2" x14ac:dyDescent="0.25">
      <c r="A3284" s="3">
        <v>3279</v>
      </c>
      <c r="B3284" s="3" t="str">
        <f>"201411000090"</f>
        <v>201411000090</v>
      </c>
    </row>
    <row r="3285" spans="1:2" x14ac:dyDescent="0.25">
      <c r="A3285" s="3">
        <v>3280</v>
      </c>
      <c r="B3285" s="3" t="str">
        <f>"201411000100"</f>
        <v>201411000100</v>
      </c>
    </row>
    <row r="3286" spans="1:2" x14ac:dyDescent="0.25">
      <c r="A3286" s="3">
        <v>3281</v>
      </c>
      <c r="B3286" s="3" t="str">
        <f>"201411000134"</f>
        <v>201411000134</v>
      </c>
    </row>
    <row r="3287" spans="1:2" x14ac:dyDescent="0.25">
      <c r="A3287" s="3">
        <v>3282</v>
      </c>
      <c r="B3287" s="3" t="str">
        <f>"201411000275"</f>
        <v>201411000275</v>
      </c>
    </row>
    <row r="3288" spans="1:2" x14ac:dyDescent="0.25">
      <c r="A3288" s="3">
        <v>3283</v>
      </c>
      <c r="B3288" s="3" t="str">
        <f>"201411000289"</f>
        <v>201411000289</v>
      </c>
    </row>
    <row r="3289" spans="1:2" x14ac:dyDescent="0.25">
      <c r="A3289" s="3">
        <v>3284</v>
      </c>
      <c r="B3289" s="3" t="str">
        <f>"201411000292"</f>
        <v>201411000292</v>
      </c>
    </row>
    <row r="3290" spans="1:2" x14ac:dyDescent="0.25">
      <c r="A3290" s="3">
        <v>3285</v>
      </c>
      <c r="B3290" s="3" t="str">
        <f>"201411000758"</f>
        <v>201411000758</v>
      </c>
    </row>
    <row r="3291" spans="1:2" x14ac:dyDescent="0.25">
      <c r="A3291" s="3">
        <v>3286</v>
      </c>
      <c r="B3291" s="3" t="str">
        <f>"201411000884"</f>
        <v>201411000884</v>
      </c>
    </row>
    <row r="3292" spans="1:2" x14ac:dyDescent="0.25">
      <c r="A3292" s="3">
        <v>3287</v>
      </c>
      <c r="B3292" s="3" t="str">
        <f>"201411000947"</f>
        <v>201411000947</v>
      </c>
    </row>
    <row r="3293" spans="1:2" x14ac:dyDescent="0.25">
      <c r="A3293" s="3">
        <v>3288</v>
      </c>
      <c r="B3293" s="3" t="str">
        <f>"201411000993"</f>
        <v>201411000993</v>
      </c>
    </row>
    <row r="3294" spans="1:2" x14ac:dyDescent="0.25">
      <c r="A3294" s="3">
        <v>3289</v>
      </c>
      <c r="B3294" s="3" t="str">
        <f>"201411001783"</f>
        <v>201411001783</v>
      </c>
    </row>
    <row r="3295" spans="1:2" x14ac:dyDescent="0.25">
      <c r="A3295" s="3">
        <v>3290</v>
      </c>
      <c r="B3295" s="3" t="str">
        <f>"201411001940"</f>
        <v>201411001940</v>
      </c>
    </row>
    <row r="3296" spans="1:2" x14ac:dyDescent="0.25">
      <c r="A3296" s="3">
        <v>3291</v>
      </c>
      <c r="B3296" s="3" t="str">
        <f>"201411002144"</f>
        <v>201411002144</v>
      </c>
    </row>
    <row r="3297" spans="1:2" x14ac:dyDescent="0.25">
      <c r="A3297" s="3">
        <v>3292</v>
      </c>
      <c r="B3297" s="3" t="str">
        <f>"201411002201"</f>
        <v>201411002201</v>
      </c>
    </row>
    <row r="3298" spans="1:2" x14ac:dyDescent="0.25">
      <c r="A3298" s="3">
        <v>3293</v>
      </c>
      <c r="B3298" s="3" t="str">
        <f>"201411002264"</f>
        <v>201411002264</v>
      </c>
    </row>
    <row r="3299" spans="1:2" x14ac:dyDescent="0.25">
      <c r="A3299" s="3">
        <v>3294</v>
      </c>
      <c r="B3299" s="3" t="str">
        <f>"201411002280"</f>
        <v>201411002280</v>
      </c>
    </row>
    <row r="3300" spans="1:2" x14ac:dyDescent="0.25">
      <c r="A3300" s="3">
        <v>3295</v>
      </c>
      <c r="B3300" s="3" t="str">
        <f>"201411002547"</f>
        <v>201411002547</v>
      </c>
    </row>
    <row r="3301" spans="1:2" x14ac:dyDescent="0.25">
      <c r="A3301" s="3">
        <v>3296</v>
      </c>
      <c r="B3301" s="3" t="str">
        <f>"201411002600"</f>
        <v>201411002600</v>
      </c>
    </row>
    <row r="3302" spans="1:2" x14ac:dyDescent="0.25">
      <c r="A3302" s="3">
        <v>3297</v>
      </c>
      <c r="B3302" s="3" t="str">
        <f>"201411002679"</f>
        <v>201411002679</v>
      </c>
    </row>
    <row r="3303" spans="1:2" x14ac:dyDescent="0.25">
      <c r="A3303" s="3">
        <v>3298</v>
      </c>
      <c r="B3303" s="3" t="str">
        <f>"201411003020"</f>
        <v>201411003020</v>
      </c>
    </row>
    <row r="3304" spans="1:2" x14ac:dyDescent="0.25">
      <c r="A3304" s="3">
        <v>3299</v>
      </c>
      <c r="B3304" s="3" t="str">
        <f>"201411003232"</f>
        <v>201411003232</v>
      </c>
    </row>
    <row r="3305" spans="1:2" x14ac:dyDescent="0.25">
      <c r="A3305" s="3">
        <v>3300</v>
      </c>
      <c r="B3305" s="3" t="str">
        <f>"201411003383"</f>
        <v>201411003383</v>
      </c>
    </row>
    <row r="3306" spans="1:2" x14ac:dyDescent="0.25">
      <c r="A3306" s="3">
        <v>3301</v>
      </c>
      <c r="B3306" s="3" t="str">
        <f>"201411003401"</f>
        <v>201411003401</v>
      </c>
    </row>
    <row r="3307" spans="1:2" x14ac:dyDescent="0.25">
      <c r="A3307" s="3">
        <v>3302</v>
      </c>
      <c r="B3307" s="3" t="str">
        <f>"201412000039"</f>
        <v>201412000039</v>
      </c>
    </row>
    <row r="3308" spans="1:2" x14ac:dyDescent="0.25">
      <c r="A3308" s="3">
        <v>3303</v>
      </c>
      <c r="B3308" s="3" t="str">
        <f>"201412000089"</f>
        <v>201412000089</v>
      </c>
    </row>
    <row r="3309" spans="1:2" x14ac:dyDescent="0.25">
      <c r="A3309" s="3">
        <v>3304</v>
      </c>
      <c r="B3309" s="3" t="str">
        <f>"201412000456"</f>
        <v>201412000456</v>
      </c>
    </row>
    <row r="3310" spans="1:2" x14ac:dyDescent="0.25">
      <c r="A3310" s="3">
        <v>3305</v>
      </c>
      <c r="B3310" s="3" t="str">
        <f>"201412000578"</f>
        <v>201412000578</v>
      </c>
    </row>
    <row r="3311" spans="1:2" x14ac:dyDescent="0.25">
      <c r="A3311" s="3">
        <v>3306</v>
      </c>
      <c r="B3311" s="3" t="str">
        <f>"201412000717"</f>
        <v>201412000717</v>
      </c>
    </row>
    <row r="3312" spans="1:2" x14ac:dyDescent="0.25">
      <c r="A3312" s="3">
        <v>3307</v>
      </c>
      <c r="B3312" s="3" t="str">
        <f>"201412001132"</f>
        <v>201412001132</v>
      </c>
    </row>
    <row r="3313" spans="1:2" x14ac:dyDescent="0.25">
      <c r="A3313" s="3">
        <v>3308</v>
      </c>
      <c r="B3313" s="3" t="str">
        <f>"201412001188"</f>
        <v>201412001188</v>
      </c>
    </row>
    <row r="3314" spans="1:2" x14ac:dyDescent="0.25">
      <c r="A3314" s="3">
        <v>3309</v>
      </c>
      <c r="B3314" s="3" t="str">
        <f>"201412001444"</f>
        <v>201412001444</v>
      </c>
    </row>
    <row r="3315" spans="1:2" x14ac:dyDescent="0.25">
      <c r="A3315" s="3">
        <v>3310</v>
      </c>
      <c r="B3315" s="3" t="str">
        <f>"201412001459"</f>
        <v>201412001459</v>
      </c>
    </row>
    <row r="3316" spans="1:2" x14ac:dyDescent="0.25">
      <c r="A3316" s="3">
        <v>3311</v>
      </c>
      <c r="B3316" s="3" t="str">
        <f>"201412001517"</f>
        <v>201412001517</v>
      </c>
    </row>
    <row r="3317" spans="1:2" x14ac:dyDescent="0.25">
      <c r="A3317" s="3">
        <v>3312</v>
      </c>
      <c r="B3317" s="3" t="str">
        <f>"201412001561"</f>
        <v>201412001561</v>
      </c>
    </row>
    <row r="3318" spans="1:2" x14ac:dyDescent="0.25">
      <c r="A3318" s="3">
        <v>3313</v>
      </c>
      <c r="B3318" s="3" t="str">
        <f>"201412001704"</f>
        <v>201412001704</v>
      </c>
    </row>
    <row r="3319" spans="1:2" x14ac:dyDescent="0.25">
      <c r="A3319" s="3">
        <v>3314</v>
      </c>
      <c r="B3319" s="3" t="str">
        <f>"201412001725"</f>
        <v>201412001725</v>
      </c>
    </row>
    <row r="3320" spans="1:2" x14ac:dyDescent="0.25">
      <c r="A3320" s="3">
        <v>3315</v>
      </c>
      <c r="B3320" s="3" t="str">
        <f>"201412002060"</f>
        <v>201412002060</v>
      </c>
    </row>
    <row r="3321" spans="1:2" x14ac:dyDescent="0.25">
      <c r="A3321" s="3">
        <v>3316</v>
      </c>
      <c r="B3321" s="3" t="str">
        <f>"201412002196"</f>
        <v>201412002196</v>
      </c>
    </row>
    <row r="3322" spans="1:2" x14ac:dyDescent="0.25">
      <c r="A3322" s="3">
        <v>3317</v>
      </c>
      <c r="B3322" s="3" t="str">
        <f>"201412002227"</f>
        <v>201412002227</v>
      </c>
    </row>
    <row r="3323" spans="1:2" x14ac:dyDescent="0.25">
      <c r="A3323" s="3">
        <v>3318</v>
      </c>
      <c r="B3323" s="3" t="str">
        <f>"201412002724"</f>
        <v>201412002724</v>
      </c>
    </row>
    <row r="3324" spans="1:2" x14ac:dyDescent="0.25">
      <c r="A3324" s="3">
        <v>3319</v>
      </c>
      <c r="B3324" s="3" t="str">
        <f>"201412002743"</f>
        <v>201412002743</v>
      </c>
    </row>
    <row r="3325" spans="1:2" x14ac:dyDescent="0.25">
      <c r="A3325" s="3">
        <v>3320</v>
      </c>
      <c r="B3325" s="3" t="str">
        <f>"201412002959"</f>
        <v>201412002959</v>
      </c>
    </row>
    <row r="3326" spans="1:2" x14ac:dyDescent="0.25">
      <c r="A3326" s="3">
        <v>3321</v>
      </c>
      <c r="B3326" s="3" t="str">
        <f>"201412003158"</f>
        <v>201412003158</v>
      </c>
    </row>
    <row r="3327" spans="1:2" x14ac:dyDescent="0.25">
      <c r="A3327" s="3">
        <v>3322</v>
      </c>
      <c r="B3327" s="3" t="str">
        <f>"201412003192"</f>
        <v>201412003192</v>
      </c>
    </row>
    <row r="3328" spans="1:2" x14ac:dyDescent="0.25">
      <c r="A3328" s="3">
        <v>3323</v>
      </c>
      <c r="B3328" s="3" t="str">
        <f>"201412003293"</f>
        <v>201412003293</v>
      </c>
    </row>
    <row r="3329" spans="1:2" x14ac:dyDescent="0.25">
      <c r="A3329" s="3">
        <v>3324</v>
      </c>
      <c r="B3329" s="3" t="str">
        <f>"201412003729"</f>
        <v>201412003729</v>
      </c>
    </row>
    <row r="3330" spans="1:2" x14ac:dyDescent="0.25">
      <c r="A3330" s="3">
        <v>3325</v>
      </c>
      <c r="B3330" s="3" t="str">
        <f>"201412003763"</f>
        <v>201412003763</v>
      </c>
    </row>
    <row r="3331" spans="1:2" x14ac:dyDescent="0.25">
      <c r="A3331" s="3">
        <v>3326</v>
      </c>
      <c r="B3331" s="3" t="str">
        <f>"201412003776"</f>
        <v>201412003776</v>
      </c>
    </row>
    <row r="3332" spans="1:2" x14ac:dyDescent="0.25">
      <c r="A3332" s="3">
        <v>3327</v>
      </c>
      <c r="B3332" s="3" t="str">
        <f>"201412004263"</f>
        <v>201412004263</v>
      </c>
    </row>
    <row r="3333" spans="1:2" x14ac:dyDescent="0.25">
      <c r="A3333" s="3">
        <v>3328</v>
      </c>
      <c r="B3333" s="3" t="str">
        <f>"201412004442"</f>
        <v>201412004442</v>
      </c>
    </row>
    <row r="3334" spans="1:2" x14ac:dyDescent="0.25">
      <c r="A3334" s="3">
        <v>3329</v>
      </c>
      <c r="B3334" s="3" t="str">
        <f>"201412004794"</f>
        <v>201412004794</v>
      </c>
    </row>
    <row r="3335" spans="1:2" x14ac:dyDescent="0.25">
      <c r="A3335" s="3">
        <v>3330</v>
      </c>
      <c r="B3335" s="3" t="str">
        <f>"201412004847"</f>
        <v>201412004847</v>
      </c>
    </row>
    <row r="3336" spans="1:2" x14ac:dyDescent="0.25">
      <c r="A3336" s="3">
        <v>3331</v>
      </c>
      <c r="B3336" s="3" t="str">
        <f>"201412004919"</f>
        <v>201412004919</v>
      </c>
    </row>
    <row r="3337" spans="1:2" x14ac:dyDescent="0.25">
      <c r="A3337" s="3">
        <v>3332</v>
      </c>
      <c r="B3337" s="3" t="str">
        <f>"201412004951"</f>
        <v>201412004951</v>
      </c>
    </row>
    <row r="3338" spans="1:2" x14ac:dyDescent="0.25">
      <c r="A3338" s="3">
        <v>3333</v>
      </c>
      <c r="B3338" s="3" t="str">
        <f>"201412005175"</f>
        <v>201412005175</v>
      </c>
    </row>
    <row r="3339" spans="1:2" x14ac:dyDescent="0.25">
      <c r="A3339" s="3">
        <v>3334</v>
      </c>
      <c r="B3339" s="3" t="str">
        <f>"201412005559"</f>
        <v>201412005559</v>
      </c>
    </row>
    <row r="3340" spans="1:2" x14ac:dyDescent="0.25">
      <c r="A3340" s="3">
        <v>3335</v>
      </c>
      <c r="B3340" s="3" t="str">
        <f>"201412005827"</f>
        <v>201412005827</v>
      </c>
    </row>
    <row r="3341" spans="1:2" x14ac:dyDescent="0.25">
      <c r="A3341" s="3">
        <v>3336</v>
      </c>
      <c r="B3341" s="3" t="str">
        <f>"201412006214"</f>
        <v>201412006214</v>
      </c>
    </row>
    <row r="3342" spans="1:2" x14ac:dyDescent="0.25">
      <c r="A3342" s="3">
        <v>3337</v>
      </c>
      <c r="B3342" s="3" t="str">
        <f>"201412006963"</f>
        <v>201412006963</v>
      </c>
    </row>
    <row r="3343" spans="1:2" x14ac:dyDescent="0.25">
      <c r="A3343" s="3">
        <v>3338</v>
      </c>
      <c r="B3343" s="3" t="str">
        <f>"201412007059"</f>
        <v>201412007059</v>
      </c>
    </row>
    <row r="3344" spans="1:2" x14ac:dyDescent="0.25">
      <c r="A3344" s="3">
        <v>3339</v>
      </c>
      <c r="B3344" s="3" t="str">
        <f>"201412007252"</f>
        <v>201412007252</v>
      </c>
    </row>
    <row r="3345" spans="1:2" x14ac:dyDescent="0.25">
      <c r="A3345" s="3">
        <v>3340</v>
      </c>
      <c r="B3345" s="3" t="str">
        <f>"201412007393"</f>
        <v>201412007393</v>
      </c>
    </row>
    <row r="3346" spans="1:2" x14ac:dyDescent="0.25">
      <c r="A3346" s="3">
        <v>3341</v>
      </c>
      <c r="B3346" s="3" t="str">
        <f>"201501000379"</f>
        <v>201501000379</v>
      </c>
    </row>
    <row r="3347" spans="1:2" x14ac:dyDescent="0.25">
      <c r="A3347" s="3">
        <v>3342</v>
      </c>
      <c r="B3347" s="3" t="str">
        <f>"201502000084"</f>
        <v>201502000084</v>
      </c>
    </row>
    <row r="3348" spans="1:2" x14ac:dyDescent="0.25">
      <c r="A3348" s="3">
        <v>3343</v>
      </c>
      <c r="B3348" s="3" t="str">
        <f>"201502000088"</f>
        <v>201502000088</v>
      </c>
    </row>
    <row r="3349" spans="1:2" x14ac:dyDescent="0.25">
      <c r="A3349" s="3">
        <v>3344</v>
      </c>
      <c r="B3349" s="3" t="str">
        <f>"201502000201"</f>
        <v>201502000201</v>
      </c>
    </row>
    <row r="3350" spans="1:2" x14ac:dyDescent="0.25">
      <c r="A3350" s="3">
        <v>3345</v>
      </c>
      <c r="B3350" s="3" t="str">
        <f>"201502000260"</f>
        <v>201502000260</v>
      </c>
    </row>
    <row r="3351" spans="1:2" x14ac:dyDescent="0.25">
      <c r="A3351" s="3">
        <v>3346</v>
      </c>
      <c r="B3351" s="3" t="str">
        <f>"201502000291"</f>
        <v>201502000291</v>
      </c>
    </row>
    <row r="3352" spans="1:2" x14ac:dyDescent="0.25">
      <c r="A3352" s="3">
        <v>3347</v>
      </c>
      <c r="B3352" s="3" t="str">
        <f>"201502000326"</f>
        <v>201502000326</v>
      </c>
    </row>
    <row r="3353" spans="1:2" x14ac:dyDescent="0.25">
      <c r="A3353" s="3">
        <v>3348</v>
      </c>
      <c r="B3353" s="3" t="str">
        <f>"201502000435"</f>
        <v>201502000435</v>
      </c>
    </row>
    <row r="3354" spans="1:2" x14ac:dyDescent="0.25">
      <c r="A3354" s="3">
        <v>3349</v>
      </c>
      <c r="B3354" s="3" t="str">
        <f>"201502000879"</f>
        <v>201502000879</v>
      </c>
    </row>
    <row r="3355" spans="1:2" x14ac:dyDescent="0.25">
      <c r="A3355" s="3">
        <v>3350</v>
      </c>
      <c r="B3355" s="3" t="str">
        <f>"201502002139"</f>
        <v>201502002139</v>
      </c>
    </row>
    <row r="3356" spans="1:2" x14ac:dyDescent="0.25">
      <c r="A3356" s="3">
        <v>3351</v>
      </c>
      <c r="B3356" s="3" t="str">
        <f>"201502002338"</f>
        <v>201502002338</v>
      </c>
    </row>
    <row r="3357" spans="1:2" x14ac:dyDescent="0.25">
      <c r="A3357" s="3">
        <v>3352</v>
      </c>
      <c r="B3357" s="3" t="str">
        <f>"201502002723"</f>
        <v>201502002723</v>
      </c>
    </row>
    <row r="3358" spans="1:2" x14ac:dyDescent="0.25">
      <c r="A3358" s="3">
        <v>3353</v>
      </c>
      <c r="B3358" s="3" t="str">
        <f>"201502003010"</f>
        <v>201502003010</v>
      </c>
    </row>
    <row r="3359" spans="1:2" x14ac:dyDescent="0.25">
      <c r="A3359" s="3">
        <v>3354</v>
      </c>
      <c r="B3359" s="3" t="str">
        <f>"201502003016"</f>
        <v>201502003016</v>
      </c>
    </row>
    <row r="3360" spans="1:2" x14ac:dyDescent="0.25">
      <c r="A3360" s="3">
        <v>3355</v>
      </c>
      <c r="B3360" s="3" t="str">
        <f>"201502003088"</f>
        <v>201502003088</v>
      </c>
    </row>
    <row r="3361" spans="1:2" x14ac:dyDescent="0.25">
      <c r="A3361" s="3">
        <v>3356</v>
      </c>
      <c r="B3361" s="3" t="str">
        <f>"201502003253"</f>
        <v>201502003253</v>
      </c>
    </row>
    <row r="3362" spans="1:2" x14ac:dyDescent="0.25">
      <c r="A3362" s="3">
        <v>3357</v>
      </c>
      <c r="B3362" s="3" t="str">
        <f>"201502003396"</f>
        <v>201502003396</v>
      </c>
    </row>
    <row r="3363" spans="1:2" x14ac:dyDescent="0.25">
      <c r="A3363" s="3">
        <v>3358</v>
      </c>
      <c r="B3363" s="3" t="str">
        <f>"201502003423"</f>
        <v>201502003423</v>
      </c>
    </row>
    <row r="3364" spans="1:2" x14ac:dyDescent="0.25">
      <c r="A3364" s="3">
        <v>3359</v>
      </c>
      <c r="B3364" s="3" t="str">
        <f>"201502003469"</f>
        <v>201502003469</v>
      </c>
    </row>
    <row r="3365" spans="1:2" x14ac:dyDescent="0.25">
      <c r="A3365" s="3">
        <v>3360</v>
      </c>
      <c r="B3365" s="3" t="str">
        <f>"201502003713"</f>
        <v>201502003713</v>
      </c>
    </row>
    <row r="3366" spans="1:2" x14ac:dyDescent="0.25">
      <c r="A3366" s="3">
        <v>3361</v>
      </c>
      <c r="B3366" s="3" t="str">
        <f>"201502003737"</f>
        <v>201502003737</v>
      </c>
    </row>
    <row r="3367" spans="1:2" x14ac:dyDescent="0.25">
      <c r="A3367" s="3">
        <v>3362</v>
      </c>
      <c r="B3367" s="3" t="str">
        <f>"201503000219"</f>
        <v>201503000219</v>
      </c>
    </row>
    <row r="3368" spans="1:2" x14ac:dyDescent="0.25">
      <c r="A3368" s="3">
        <v>3363</v>
      </c>
      <c r="B3368" s="3" t="str">
        <f>"201504000572"</f>
        <v>201504000572</v>
      </c>
    </row>
    <row r="3369" spans="1:2" x14ac:dyDescent="0.25">
      <c r="A3369" s="3">
        <v>3364</v>
      </c>
      <c r="B3369" s="3" t="str">
        <f>"201504001031"</f>
        <v>201504001031</v>
      </c>
    </row>
    <row r="3370" spans="1:2" x14ac:dyDescent="0.25">
      <c r="A3370" s="3">
        <v>3365</v>
      </c>
      <c r="B3370" s="3" t="str">
        <f>"201504001478"</f>
        <v>201504001478</v>
      </c>
    </row>
    <row r="3371" spans="1:2" x14ac:dyDescent="0.25">
      <c r="A3371" s="3">
        <v>3366</v>
      </c>
      <c r="B3371" s="3" t="str">
        <f>"201504001639"</f>
        <v>201504001639</v>
      </c>
    </row>
    <row r="3372" spans="1:2" x14ac:dyDescent="0.25">
      <c r="A3372" s="3">
        <v>3367</v>
      </c>
      <c r="B3372" s="3" t="str">
        <f>"201504002032"</f>
        <v>201504002032</v>
      </c>
    </row>
    <row r="3373" spans="1:2" x14ac:dyDescent="0.25">
      <c r="A3373" s="3">
        <v>3368</v>
      </c>
      <c r="B3373" s="3" t="str">
        <f>"201504002229"</f>
        <v>201504002229</v>
      </c>
    </row>
    <row r="3374" spans="1:2" x14ac:dyDescent="0.25">
      <c r="A3374" s="3">
        <v>3369</v>
      </c>
      <c r="B3374" s="3" t="str">
        <f>"201504002253"</f>
        <v>201504002253</v>
      </c>
    </row>
    <row r="3375" spans="1:2" x14ac:dyDescent="0.25">
      <c r="A3375" s="3">
        <v>3370</v>
      </c>
      <c r="B3375" s="3" t="str">
        <f>"201504003012"</f>
        <v>201504003012</v>
      </c>
    </row>
    <row r="3376" spans="1:2" x14ac:dyDescent="0.25">
      <c r="A3376" s="3">
        <v>3371</v>
      </c>
      <c r="B3376" s="3" t="str">
        <f>"201504003785"</f>
        <v>201504003785</v>
      </c>
    </row>
    <row r="3377" spans="1:2" x14ac:dyDescent="0.25">
      <c r="A3377" s="3">
        <v>3372</v>
      </c>
      <c r="B3377" s="3" t="str">
        <f>"201505000009"</f>
        <v>201505000009</v>
      </c>
    </row>
    <row r="3378" spans="1:2" x14ac:dyDescent="0.25">
      <c r="A3378" s="3">
        <v>3373</v>
      </c>
      <c r="B3378" s="3" t="str">
        <f>"201505000042"</f>
        <v>201505000042</v>
      </c>
    </row>
    <row r="3379" spans="1:2" x14ac:dyDescent="0.25">
      <c r="A3379" s="3">
        <v>3374</v>
      </c>
      <c r="B3379" s="3" t="str">
        <f>"201506000667"</f>
        <v>201506000667</v>
      </c>
    </row>
    <row r="3380" spans="1:2" x14ac:dyDescent="0.25">
      <c r="A3380" s="3">
        <v>3375</v>
      </c>
      <c r="B3380" s="3" t="str">
        <f>"201506000805"</f>
        <v>201506000805</v>
      </c>
    </row>
    <row r="3381" spans="1:2" x14ac:dyDescent="0.25">
      <c r="A3381" s="3">
        <v>3376</v>
      </c>
      <c r="B3381" s="3" t="str">
        <f>"201506000864"</f>
        <v>201506000864</v>
      </c>
    </row>
    <row r="3382" spans="1:2" x14ac:dyDescent="0.25">
      <c r="A3382" s="3">
        <v>3377</v>
      </c>
      <c r="B3382" s="3" t="str">
        <f>"201506000974"</f>
        <v>201506000974</v>
      </c>
    </row>
    <row r="3383" spans="1:2" x14ac:dyDescent="0.25">
      <c r="A3383" s="3">
        <v>3378</v>
      </c>
      <c r="B3383" s="3" t="str">
        <f>"201506001218"</f>
        <v>201506001218</v>
      </c>
    </row>
    <row r="3384" spans="1:2" x14ac:dyDescent="0.25">
      <c r="A3384" s="3">
        <v>3379</v>
      </c>
      <c r="B3384" s="3" t="str">
        <f>"201506001521"</f>
        <v>201506001521</v>
      </c>
    </row>
    <row r="3385" spans="1:2" x14ac:dyDescent="0.25">
      <c r="A3385" s="3">
        <v>3380</v>
      </c>
      <c r="B3385" s="3" t="str">
        <f>"201506003188"</f>
        <v>201506003188</v>
      </c>
    </row>
    <row r="3386" spans="1:2" x14ac:dyDescent="0.25">
      <c r="A3386" s="3">
        <v>3381</v>
      </c>
      <c r="B3386" s="3" t="str">
        <f>"201506003274"</f>
        <v>201506003274</v>
      </c>
    </row>
    <row r="3387" spans="1:2" x14ac:dyDescent="0.25">
      <c r="A3387" s="3">
        <v>3382</v>
      </c>
      <c r="B3387" s="3" t="str">
        <f>"201506004080"</f>
        <v>201506004080</v>
      </c>
    </row>
    <row r="3388" spans="1:2" x14ac:dyDescent="0.25">
      <c r="A3388" s="3">
        <v>3383</v>
      </c>
      <c r="B3388" s="3" t="str">
        <f>"201506004177"</f>
        <v>201506004177</v>
      </c>
    </row>
    <row r="3389" spans="1:2" x14ac:dyDescent="0.25">
      <c r="A3389" s="3">
        <v>3384</v>
      </c>
      <c r="B3389" s="3" t="str">
        <f>"201506004281"</f>
        <v>201506004281</v>
      </c>
    </row>
    <row r="3390" spans="1:2" x14ac:dyDescent="0.25">
      <c r="A3390" s="3">
        <v>3385</v>
      </c>
      <c r="B3390" s="3" t="str">
        <f>"201506004452"</f>
        <v>201506004452</v>
      </c>
    </row>
    <row r="3391" spans="1:2" x14ac:dyDescent="0.25">
      <c r="A3391" s="3">
        <v>3386</v>
      </c>
      <c r="B3391" s="3" t="str">
        <f>"201507000886"</f>
        <v>201507000886</v>
      </c>
    </row>
    <row r="3392" spans="1:2" x14ac:dyDescent="0.25">
      <c r="A3392" s="3">
        <v>3387</v>
      </c>
      <c r="B3392" s="3" t="str">
        <f>"201507002902"</f>
        <v>201507002902</v>
      </c>
    </row>
    <row r="3393" spans="1:2" x14ac:dyDescent="0.25">
      <c r="A3393" s="3">
        <v>3388</v>
      </c>
      <c r="B3393" s="3" t="str">
        <f>"201507005299"</f>
        <v>201507005299</v>
      </c>
    </row>
    <row r="3394" spans="1:2" x14ac:dyDescent="0.25">
      <c r="A3394" s="3">
        <v>3389</v>
      </c>
      <c r="B3394" s="3" t="str">
        <f>"201510000076"</f>
        <v>201510000076</v>
      </c>
    </row>
    <row r="3395" spans="1:2" x14ac:dyDescent="0.25">
      <c r="A3395" s="3">
        <v>3390</v>
      </c>
      <c r="B3395" s="3" t="str">
        <f>"201510000411"</f>
        <v>201510000411</v>
      </c>
    </row>
    <row r="3396" spans="1:2" x14ac:dyDescent="0.25">
      <c r="A3396" s="3">
        <v>3391</v>
      </c>
      <c r="B3396" s="3" t="str">
        <f>"201510001232"</f>
        <v>201510001232</v>
      </c>
    </row>
    <row r="3397" spans="1:2" x14ac:dyDescent="0.25">
      <c r="A3397" s="3">
        <v>3392</v>
      </c>
      <c r="B3397" s="3" t="str">
        <f>"201510001620"</f>
        <v>201510001620</v>
      </c>
    </row>
    <row r="3398" spans="1:2" x14ac:dyDescent="0.25">
      <c r="A3398" s="3">
        <v>3393</v>
      </c>
      <c r="B3398" s="3" t="str">
        <f>"201510001986"</f>
        <v>201510001986</v>
      </c>
    </row>
    <row r="3399" spans="1:2" x14ac:dyDescent="0.25">
      <c r="A3399" s="3">
        <v>3394</v>
      </c>
      <c r="B3399" s="3" t="str">
        <f>"201510002740"</f>
        <v>201510002740</v>
      </c>
    </row>
    <row r="3400" spans="1:2" x14ac:dyDescent="0.25">
      <c r="A3400" s="3">
        <v>3395</v>
      </c>
      <c r="B3400" s="3" t="str">
        <f>"201510002773"</f>
        <v>201510002773</v>
      </c>
    </row>
    <row r="3401" spans="1:2" x14ac:dyDescent="0.25">
      <c r="A3401" s="3">
        <v>3396</v>
      </c>
      <c r="B3401" s="3" t="str">
        <f>"201510002801"</f>
        <v>201510002801</v>
      </c>
    </row>
    <row r="3402" spans="1:2" x14ac:dyDescent="0.25">
      <c r="A3402" s="3">
        <v>3397</v>
      </c>
      <c r="B3402" s="3" t="str">
        <f>"201510004673"</f>
        <v>201510004673</v>
      </c>
    </row>
    <row r="3403" spans="1:2" x14ac:dyDescent="0.25">
      <c r="A3403" s="3">
        <v>3398</v>
      </c>
      <c r="B3403" s="3" t="str">
        <f>"201511004493"</f>
        <v>201511004493</v>
      </c>
    </row>
    <row r="3404" spans="1:2" x14ac:dyDescent="0.25">
      <c r="A3404" s="3">
        <v>3399</v>
      </c>
      <c r="B3404" s="3" t="str">
        <f>"201511004509"</f>
        <v>201511004509</v>
      </c>
    </row>
    <row r="3405" spans="1:2" x14ac:dyDescent="0.25">
      <c r="A3405" s="3">
        <v>3400</v>
      </c>
      <c r="B3405" s="3" t="str">
        <f>"201511004767"</f>
        <v>201511004767</v>
      </c>
    </row>
    <row r="3406" spans="1:2" x14ac:dyDescent="0.25">
      <c r="A3406" s="3">
        <v>3401</v>
      </c>
      <c r="B3406" s="3" t="str">
        <f>"201511004962"</f>
        <v>201511004962</v>
      </c>
    </row>
    <row r="3407" spans="1:2" x14ac:dyDescent="0.25">
      <c r="A3407" s="3">
        <v>3402</v>
      </c>
      <c r="B3407" s="3" t="str">
        <f>"201511005105"</f>
        <v>201511005105</v>
      </c>
    </row>
    <row r="3408" spans="1:2" x14ac:dyDescent="0.25">
      <c r="A3408" s="3">
        <v>3403</v>
      </c>
      <c r="B3408" s="3" t="str">
        <f>"201511005646"</f>
        <v>201511005646</v>
      </c>
    </row>
    <row r="3409" spans="1:2" x14ac:dyDescent="0.25">
      <c r="A3409" s="3">
        <v>3404</v>
      </c>
      <c r="B3409" s="3" t="str">
        <f>"201511005814"</f>
        <v>201511005814</v>
      </c>
    </row>
    <row r="3410" spans="1:2" x14ac:dyDescent="0.25">
      <c r="A3410" s="3">
        <v>3405</v>
      </c>
      <c r="B3410" s="3" t="str">
        <f>"201511006340"</f>
        <v>201511006340</v>
      </c>
    </row>
    <row r="3411" spans="1:2" x14ac:dyDescent="0.25">
      <c r="A3411" s="3">
        <v>3406</v>
      </c>
      <c r="B3411" s="3" t="str">
        <f>"201511006553"</f>
        <v>201511006553</v>
      </c>
    </row>
    <row r="3412" spans="1:2" x14ac:dyDescent="0.25">
      <c r="A3412" s="3">
        <v>3407</v>
      </c>
      <c r="B3412" s="3" t="str">
        <f>"201511007133"</f>
        <v>201511007133</v>
      </c>
    </row>
    <row r="3413" spans="1:2" x14ac:dyDescent="0.25">
      <c r="A3413" s="3">
        <v>3408</v>
      </c>
      <c r="B3413" s="3" t="str">
        <f>"201511008701"</f>
        <v>201511008701</v>
      </c>
    </row>
    <row r="3414" spans="1:2" x14ac:dyDescent="0.25">
      <c r="A3414" s="3">
        <v>3409</v>
      </c>
      <c r="B3414" s="3" t="str">
        <f>"201511008744"</f>
        <v>201511008744</v>
      </c>
    </row>
    <row r="3415" spans="1:2" x14ac:dyDescent="0.25">
      <c r="A3415" s="3">
        <v>3410</v>
      </c>
      <c r="B3415" s="3" t="str">
        <f>"201511009128"</f>
        <v>201511009128</v>
      </c>
    </row>
    <row r="3416" spans="1:2" x14ac:dyDescent="0.25">
      <c r="A3416" s="3">
        <v>3411</v>
      </c>
      <c r="B3416" s="3" t="str">
        <f>"201511010023"</f>
        <v>201511010023</v>
      </c>
    </row>
    <row r="3417" spans="1:2" x14ac:dyDescent="0.25">
      <c r="A3417" s="3">
        <v>3412</v>
      </c>
      <c r="B3417" s="3" t="str">
        <f>"201511010060"</f>
        <v>201511010060</v>
      </c>
    </row>
    <row r="3418" spans="1:2" x14ac:dyDescent="0.25">
      <c r="A3418" s="3">
        <v>3413</v>
      </c>
      <c r="B3418" s="3" t="str">
        <f>"201511010133"</f>
        <v>201511010133</v>
      </c>
    </row>
    <row r="3419" spans="1:2" x14ac:dyDescent="0.25">
      <c r="A3419" s="3">
        <v>3414</v>
      </c>
      <c r="B3419" s="3" t="str">
        <f>"201511010547"</f>
        <v>201511010547</v>
      </c>
    </row>
    <row r="3420" spans="1:2" x14ac:dyDescent="0.25">
      <c r="A3420" s="3">
        <v>3415</v>
      </c>
      <c r="B3420" s="3" t="str">
        <f>"201511010683"</f>
        <v>201511010683</v>
      </c>
    </row>
    <row r="3421" spans="1:2" x14ac:dyDescent="0.25">
      <c r="A3421" s="3">
        <v>3416</v>
      </c>
      <c r="B3421" s="3" t="str">
        <f>"201511011651"</f>
        <v>201511011651</v>
      </c>
    </row>
    <row r="3422" spans="1:2" x14ac:dyDescent="0.25">
      <c r="A3422" s="3">
        <v>3417</v>
      </c>
      <c r="B3422" s="3" t="str">
        <f>"201511012454"</f>
        <v>201511012454</v>
      </c>
    </row>
    <row r="3423" spans="1:2" x14ac:dyDescent="0.25">
      <c r="A3423" s="3">
        <v>3418</v>
      </c>
      <c r="B3423" s="3" t="str">
        <f>"201511012573"</f>
        <v>201511012573</v>
      </c>
    </row>
    <row r="3424" spans="1:2" x14ac:dyDescent="0.25">
      <c r="A3424" s="3">
        <v>3419</v>
      </c>
      <c r="B3424" s="3" t="str">
        <f>"201511012905"</f>
        <v>201511012905</v>
      </c>
    </row>
    <row r="3425" spans="1:2" x14ac:dyDescent="0.25">
      <c r="A3425" s="3">
        <v>3420</v>
      </c>
      <c r="B3425" s="3" t="str">
        <f>"201511013528"</f>
        <v>201511013528</v>
      </c>
    </row>
    <row r="3426" spans="1:2" x14ac:dyDescent="0.25">
      <c r="A3426" s="3">
        <v>3421</v>
      </c>
      <c r="B3426" s="3" t="str">
        <f>"201511013604"</f>
        <v>201511013604</v>
      </c>
    </row>
    <row r="3427" spans="1:2" x14ac:dyDescent="0.25">
      <c r="A3427" s="3">
        <v>3422</v>
      </c>
      <c r="B3427" s="3" t="str">
        <f>"201511013871"</f>
        <v>201511013871</v>
      </c>
    </row>
    <row r="3428" spans="1:2" x14ac:dyDescent="0.25">
      <c r="A3428" s="3">
        <v>3423</v>
      </c>
      <c r="B3428" s="3" t="str">
        <f>"201511014155"</f>
        <v>201511014155</v>
      </c>
    </row>
    <row r="3429" spans="1:2" x14ac:dyDescent="0.25">
      <c r="A3429" s="3">
        <v>3424</v>
      </c>
      <c r="B3429" s="3" t="str">
        <f>"201511014354"</f>
        <v>201511014354</v>
      </c>
    </row>
    <row r="3430" spans="1:2" x14ac:dyDescent="0.25">
      <c r="A3430" s="3">
        <v>3425</v>
      </c>
      <c r="B3430" s="3" t="str">
        <f>"201511015150"</f>
        <v>201511015150</v>
      </c>
    </row>
    <row r="3431" spans="1:2" x14ac:dyDescent="0.25">
      <c r="A3431" s="3">
        <v>3426</v>
      </c>
      <c r="B3431" s="3" t="str">
        <f>"201511015520"</f>
        <v>201511015520</v>
      </c>
    </row>
    <row r="3432" spans="1:2" x14ac:dyDescent="0.25">
      <c r="A3432" s="3">
        <v>3427</v>
      </c>
      <c r="B3432" s="3" t="str">
        <f>"201511015944"</f>
        <v>201511015944</v>
      </c>
    </row>
    <row r="3433" spans="1:2" x14ac:dyDescent="0.25">
      <c r="A3433" s="3">
        <v>3428</v>
      </c>
      <c r="B3433" s="3" t="str">
        <f>"201511016041"</f>
        <v>201511016041</v>
      </c>
    </row>
    <row r="3434" spans="1:2" x14ac:dyDescent="0.25">
      <c r="A3434" s="3">
        <v>3429</v>
      </c>
      <c r="B3434" s="3" t="str">
        <f>"201511016117"</f>
        <v>201511016117</v>
      </c>
    </row>
    <row r="3435" spans="1:2" x14ac:dyDescent="0.25">
      <c r="A3435" s="3">
        <v>3430</v>
      </c>
      <c r="B3435" s="3" t="str">
        <f>"201511016628"</f>
        <v>201511016628</v>
      </c>
    </row>
    <row r="3436" spans="1:2" x14ac:dyDescent="0.25">
      <c r="A3436" s="3">
        <v>3431</v>
      </c>
      <c r="B3436" s="3" t="str">
        <f>"201511017363"</f>
        <v>201511017363</v>
      </c>
    </row>
    <row r="3437" spans="1:2" x14ac:dyDescent="0.25">
      <c r="A3437" s="3">
        <v>3432</v>
      </c>
      <c r="B3437" s="3" t="str">
        <f>"201511017837"</f>
        <v>201511017837</v>
      </c>
    </row>
    <row r="3438" spans="1:2" x14ac:dyDescent="0.25">
      <c r="A3438" s="3">
        <v>3433</v>
      </c>
      <c r="B3438" s="3" t="str">
        <f>"201511017944"</f>
        <v>201511017944</v>
      </c>
    </row>
    <row r="3439" spans="1:2" x14ac:dyDescent="0.25">
      <c r="A3439" s="3">
        <v>3434</v>
      </c>
      <c r="B3439" s="3" t="str">
        <f>"201511018495"</f>
        <v>201511018495</v>
      </c>
    </row>
    <row r="3440" spans="1:2" x14ac:dyDescent="0.25">
      <c r="A3440" s="3">
        <v>3435</v>
      </c>
      <c r="B3440" s="3" t="str">
        <f>"201511019163"</f>
        <v>201511019163</v>
      </c>
    </row>
    <row r="3441" spans="1:2" x14ac:dyDescent="0.25">
      <c r="A3441" s="3">
        <v>3436</v>
      </c>
      <c r="B3441" s="3" t="str">
        <f>"201511019198"</f>
        <v>201511019198</v>
      </c>
    </row>
    <row r="3442" spans="1:2" x14ac:dyDescent="0.25">
      <c r="A3442" s="3">
        <v>3437</v>
      </c>
      <c r="B3442" s="3" t="str">
        <f>"201511019488"</f>
        <v>201511019488</v>
      </c>
    </row>
    <row r="3443" spans="1:2" x14ac:dyDescent="0.25">
      <c r="A3443" s="3">
        <v>3438</v>
      </c>
      <c r="B3443" s="3" t="str">
        <f>"201511019501"</f>
        <v>201511019501</v>
      </c>
    </row>
    <row r="3444" spans="1:2" x14ac:dyDescent="0.25">
      <c r="A3444" s="3">
        <v>3439</v>
      </c>
      <c r="B3444" s="3" t="str">
        <f>"201511019763"</f>
        <v>201511019763</v>
      </c>
    </row>
    <row r="3445" spans="1:2" x14ac:dyDescent="0.25">
      <c r="A3445" s="3">
        <v>3440</v>
      </c>
      <c r="B3445" s="3" t="str">
        <f>"201511020738"</f>
        <v>201511020738</v>
      </c>
    </row>
    <row r="3446" spans="1:2" x14ac:dyDescent="0.25">
      <c r="A3446" s="3">
        <v>3441</v>
      </c>
      <c r="B3446" s="3" t="str">
        <f>"201511020957"</f>
        <v>201511020957</v>
      </c>
    </row>
    <row r="3447" spans="1:2" x14ac:dyDescent="0.25">
      <c r="A3447" s="3">
        <v>3442</v>
      </c>
      <c r="B3447" s="3" t="str">
        <f>"201511020983"</f>
        <v>201511020983</v>
      </c>
    </row>
    <row r="3448" spans="1:2" x14ac:dyDescent="0.25">
      <c r="A3448" s="3">
        <v>3443</v>
      </c>
      <c r="B3448" s="3" t="str">
        <f>"201511021078"</f>
        <v>201511021078</v>
      </c>
    </row>
    <row r="3449" spans="1:2" x14ac:dyDescent="0.25">
      <c r="A3449" s="3">
        <v>3444</v>
      </c>
      <c r="B3449" s="3" t="str">
        <f>"201511023778"</f>
        <v>201511023778</v>
      </c>
    </row>
    <row r="3450" spans="1:2" x14ac:dyDescent="0.25">
      <c r="A3450" s="3">
        <v>3445</v>
      </c>
      <c r="B3450" s="3" t="str">
        <f>"201511023783"</f>
        <v>201511023783</v>
      </c>
    </row>
    <row r="3451" spans="1:2" x14ac:dyDescent="0.25">
      <c r="A3451" s="3">
        <v>3446</v>
      </c>
      <c r="B3451" s="3" t="str">
        <f>"201511024032"</f>
        <v>201511024032</v>
      </c>
    </row>
    <row r="3452" spans="1:2" x14ac:dyDescent="0.25">
      <c r="A3452" s="3">
        <v>3447</v>
      </c>
      <c r="B3452" s="3" t="str">
        <f>"201511024464"</f>
        <v>201511024464</v>
      </c>
    </row>
    <row r="3453" spans="1:2" x14ac:dyDescent="0.25">
      <c r="A3453" s="3">
        <v>3448</v>
      </c>
      <c r="B3453" s="3" t="str">
        <f>"201511024742"</f>
        <v>201511024742</v>
      </c>
    </row>
    <row r="3454" spans="1:2" x14ac:dyDescent="0.25">
      <c r="A3454" s="3">
        <v>3449</v>
      </c>
      <c r="B3454" s="3" t="str">
        <f>"201511024964"</f>
        <v>201511024964</v>
      </c>
    </row>
    <row r="3455" spans="1:2" x14ac:dyDescent="0.25">
      <c r="A3455" s="3">
        <v>3450</v>
      </c>
      <c r="B3455" s="3" t="str">
        <f>"201511025430"</f>
        <v>201511025430</v>
      </c>
    </row>
    <row r="3456" spans="1:2" x14ac:dyDescent="0.25">
      <c r="A3456" s="3">
        <v>3451</v>
      </c>
      <c r="B3456" s="3" t="str">
        <f>"201511025545"</f>
        <v>201511025545</v>
      </c>
    </row>
    <row r="3457" spans="1:2" x14ac:dyDescent="0.25">
      <c r="A3457" s="3">
        <v>3452</v>
      </c>
      <c r="B3457" s="3" t="str">
        <f>"201511026569"</f>
        <v>201511026569</v>
      </c>
    </row>
    <row r="3458" spans="1:2" x14ac:dyDescent="0.25">
      <c r="A3458" s="3">
        <v>3453</v>
      </c>
      <c r="B3458" s="3" t="str">
        <f>"201511028048"</f>
        <v>201511028048</v>
      </c>
    </row>
    <row r="3459" spans="1:2" x14ac:dyDescent="0.25">
      <c r="A3459" s="3">
        <v>3454</v>
      </c>
      <c r="B3459" s="3" t="str">
        <f>"201511028324"</f>
        <v>201511028324</v>
      </c>
    </row>
    <row r="3460" spans="1:2" x14ac:dyDescent="0.25">
      <c r="A3460" s="3">
        <v>3455</v>
      </c>
      <c r="B3460" s="3" t="str">
        <f>"201511028748"</f>
        <v>201511028748</v>
      </c>
    </row>
    <row r="3461" spans="1:2" x14ac:dyDescent="0.25">
      <c r="A3461" s="3">
        <v>3456</v>
      </c>
      <c r="B3461" s="3" t="str">
        <f>"201511028786"</f>
        <v>201511028786</v>
      </c>
    </row>
    <row r="3462" spans="1:2" x14ac:dyDescent="0.25">
      <c r="A3462" s="3">
        <v>3457</v>
      </c>
      <c r="B3462" s="3" t="str">
        <f>"201511029369"</f>
        <v>201511029369</v>
      </c>
    </row>
    <row r="3463" spans="1:2" x14ac:dyDescent="0.25">
      <c r="A3463" s="3">
        <v>3458</v>
      </c>
      <c r="B3463" s="3" t="str">
        <f>"201511030621"</f>
        <v>201511030621</v>
      </c>
    </row>
    <row r="3464" spans="1:2" x14ac:dyDescent="0.25">
      <c r="A3464" s="3">
        <v>3459</v>
      </c>
      <c r="B3464" s="3" t="str">
        <f>"201511030782"</f>
        <v>201511030782</v>
      </c>
    </row>
    <row r="3465" spans="1:2" x14ac:dyDescent="0.25">
      <c r="A3465" s="3">
        <v>3460</v>
      </c>
      <c r="B3465" s="3" t="str">
        <f>"201511031347"</f>
        <v>201511031347</v>
      </c>
    </row>
    <row r="3466" spans="1:2" x14ac:dyDescent="0.25">
      <c r="A3466" s="3">
        <v>3461</v>
      </c>
      <c r="B3466" s="3" t="str">
        <f>"201511033235"</f>
        <v>201511033235</v>
      </c>
    </row>
    <row r="3467" spans="1:2" x14ac:dyDescent="0.25">
      <c r="A3467" s="3">
        <v>3462</v>
      </c>
      <c r="B3467" s="3" t="str">
        <f>"201511034310"</f>
        <v>201511034310</v>
      </c>
    </row>
    <row r="3468" spans="1:2" x14ac:dyDescent="0.25">
      <c r="A3468" s="3">
        <v>3463</v>
      </c>
      <c r="B3468" s="3" t="str">
        <f>"201511034371"</f>
        <v>201511034371</v>
      </c>
    </row>
    <row r="3469" spans="1:2" x14ac:dyDescent="0.25">
      <c r="A3469" s="3">
        <v>3464</v>
      </c>
      <c r="B3469" s="3" t="str">
        <f>"201511034704"</f>
        <v>201511034704</v>
      </c>
    </row>
    <row r="3470" spans="1:2" x14ac:dyDescent="0.25">
      <c r="A3470" s="3">
        <v>3465</v>
      </c>
      <c r="B3470" s="3" t="str">
        <f>"201511035689"</f>
        <v>201511035689</v>
      </c>
    </row>
    <row r="3471" spans="1:2" x14ac:dyDescent="0.25">
      <c r="A3471" s="3">
        <v>3466</v>
      </c>
      <c r="B3471" s="3" t="str">
        <f>"201511036266"</f>
        <v>201511036266</v>
      </c>
    </row>
    <row r="3472" spans="1:2" x14ac:dyDescent="0.25">
      <c r="A3472" s="3">
        <v>3467</v>
      </c>
      <c r="B3472" s="3" t="str">
        <f>"201511036388"</f>
        <v>201511036388</v>
      </c>
    </row>
    <row r="3473" spans="1:2" x14ac:dyDescent="0.25">
      <c r="A3473" s="3">
        <v>3468</v>
      </c>
      <c r="B3473" s="3" t="str">
        <f>"201511037432"</f>
        <v>201511037432</v>
      </c>
    </row>
    <row r="3474" spans="1:2" x14ac:dyDescent="0.25">
      <c r="A3474" s="3">
        <v>3469</v>
      </c>
      <c r="B3474" s="3" t="str">
        <f>"201511038545"</f>
        <v>201511038545</v>
      </c>
    </row>
    <row r="3475" spans="1:2" x14ac:dyDescent="0.25">
      <c r="A3475" s="3">
        <v>3470</v>
      </c>
      <c r="B3475" s="3" t="str">
        <f>"201511038807"</f>
        <v>201511038807</v>
      </c>
    </row>
    <row r="3476" spans="1:2" x14ac:dyDescent="0.25">
      <c r="A3476" s="3">
        <v>3471</v>
      </c>
      <c r="B3476" s="3" t="str">
        <f>"201511038932"</f>
        <v>201511038932</v>
      </c>
    </row>
    <row r="3477" spans="1:2" x14ac:dyDescent="0.25">
      <c r="A3477" s="3">
        <v>3472</v>
      </c>
      <c r="B3477" s="3" t="str">
        <f>"201511039603"</f>
        <v>201511039603</v>
      </c>
    </row>
    <row r="3478" spans="1:2" x14ac:dyDescent="0.25">
      <c r="A3478" s="3">
        <v>3473</v>
      </c>
      <c r="B3478" s="3" t="str">
        <f>"201511040644"</f>
        <v>201511040644</v>
      </c>
    </row>
    <row r="3479" spans="1:2" x14ac:dyDescent="0.25">
      <c r="A3479" s="3">
        <v>3474</v>
      </c>
      <c r="B3479" s="3" t="str">
        <f>"201511042409"</f>
        <v>201511042409</v>
      </c>
    </row>
    <row r="3480" spans="1:2" x14ac:dyDescent="0.25">
      <c r="A3480" s="3">
        <v>3475</v>
      </c>
      <c r="B3480" s="3" t="str">
        <f>"201511042694"</f>
        <v>201511042694</v>
      </c>
    </row>
    <row r="3481" spans="1:2" x14ac:dyDescent="0.25">
      <c r="A3481" s="3">
        <v>3476</v>
      </c>
      <c r="B3481" s="3" t="str">
        <f>"201511043284"</f>
        <v>201511043284</v>
      </c>
    </row>
    <row r="3482" spans="1:2" x14ac:dyDescent="0.25">
      <c r="A3482" s="3">
        <v>3477</v>
      </c>
      <c r="B3482" s="3" t="str">
        <f>"201511043521"</f>
        <v>201511043521</v>
      </c>
    </row>
    <row r="3483" spans="1:2" x14ac:dyDescent="0.25">
      <c r="A3483" s="3">
        <v>3478</v>
      </c>
      <c r="B3483" s="3" t="str">
        <f>"201512001983"</f>
        <v>201512001983</v>
      </c>
    </row>
    <row r="3484" spans="1:2" x14ac:dyDescent="0.25">
      <c r="A3484" s="3">
        <v>3479</v>
      </c>
      <c r="B3484" s="3" t="str">
        <f>"201512002166"</f>
        <v>201512002166</v>
      </c>
    </row>
    <row r="3485" spans="1:2" x14ac:dyDescent="0.25">
      <c r="A3485" s="3">
        <v>3480</v>
      </c>
      <c r="B3485" s="3" t="str">
        <f>"201512003187"</f>
        <v>201512003187</v>
      </c>
    </row>
    <row r="3486" spans="1:2" x14ac:dyDescent="0.25">
      <c r="A3486" s="3">
        <v>3481</v>
      </c>
      <c r="B3486" s="3" t="str">
        <f>"201512003811"</f>
        <v>201512003811</v>
      </c>
    </row>
    <row r="3487" spans="1:2" x14ac:dyDescent="0.25">
      <c r="A3487" s="3">
        <v>3482</v>
      </c>
      <c r="B3487" s="3" t="str">
        <f>"201512004243"</f>
        <v>201512004243</v>
      </c>
    </row>
    <row r="3488" spans="1:2" x14ac:dyDescent="0.25">
      <c r="A3488" s="3">
        <v>3483</v>
      </c>
      <c r="B3488" s="3" t="str">
        <f>"201512004252"</f>
        <v>201512004252</v>
      </c>
    </row>
    <row r="3489" spans="1:2" x14ac:dyDescent="0.25">
      <c r="A3489" s="3">
        <v>3484</v>
      </c>
      <c r="B3489" s="3" t="str">
        <f>"201512004408"</f>
        <v>201512004408</v>
      </c>
    </row>
    <row r="3490" spans="1:2" x14ac:dyDescent="0.25">
      <c r="A3490" s="3">
        <v>3485</v>
      </c>
      <c r="B3490" s="3" t="str">
        <f>"201512005492"</f>
        <v>201512005492</v>
      </c>
    </row>
    <row r="3491" spans="1:2" x14ac:dyDescent="0.25">
      <c r="A3491" s="3">
        <v>3486</v>
      </c>
      <c r="B3491" s="3" t="str">
        <f>"201601000335"</f>
        <v>201601000335</v>
      </c>
    </row>
    <row r="3492" spans="1:2" x14ac:dyDescent="0.25">
      <c r="A3492" s="3">
        <v>3487</v>
      </c>
      <c r="B3492" s="3" t="str">
        <f>"201601000501"</f>
        <v>201601000501</v>
      </c>
    </row>
    <row r="3493" spans="1:2" x14ac:dyDescent="0.25">
      <c r="A3493" s="3">
        <v>3488</v>
      </c>
      <c r="B3493" s="3" t="str">
        <f>"201601000512"</f>
        <v>201601000512</v>
      </c>
    </row>
    <row r="3494" spans="1:2" x14ac:dyDescent="0.25">
      <c r="A3494" s="3">
        <v>3489</v>
      </c>
      <c r="B3494" s="3" t="str">
        <f>"201601000607"</f>
        <v>201601000607</v>
      </c>
    </row>
    <row r="3495" spans="1:2" x14ac:dyDescent="0.25">
      <c r="A3495" s="3">
        <v>3490</v>
      </c>
      <c r="B3495" s="3" t="str">
        <f>"201601000757"</f>
        <v>201601000757</v>
      </c>
    </row>
    <row r="3496" spans="1:2" x14ac:dyDescent="0.25">
      <c r="A3496" s="3">
        <v>3491</v>
      </c>
      <c r="B3496" s="3" t="str">
        <f>"201601000855"</f>
        <v>201601000855</v>
      </c>
    </row>
    <row r="3497" spans="1:2" x14ac:dyDescent="0.25">
      <c r="A3497" s="3">
        <v>3492</v>
      </c>
      <c r="B3497" s="3" t="str">
        <f>"201601000877"</f>
        <v>201601000877</v>
      </c>
    </row>
    <row r="3498" spans="1:2" x14ac:dyDescent="0.25">
      <c r="A3498" s="3">
        <v>3493</v>
      </c>
      <c r="B3498" s="3" t="str">
        <f>"201601001213"</f>
        <v>201601001213</v>
      </c>
    </row>
    <row r="3499" spans="1:2" x14ac:dyDescent="0.25">
      <c r="A3499" s="3">
        <v>3494</v>
      </c>
      <c r="B3499" s="3" t="str">
        <f>"201601001214"</f>
        <v>201601001214</v>
      </c>
    </row>
    <row r="3500" spans="1:2" x14ac:dyDescent="0.25">
      <c r="A3500" s="3">
        <v>3495</v>
      </c>
      <c r="B3500" s="3" t="str">
        <f>"201601001343"</f>
        <v>201601001343</v>
      </c>
    </row>
    <row r="3501" spans="1:2" x14ac:dyDescent="0.25">
      <c r="A3501" s="3">
        <v>3496</v>
      </c>
      <c r="B3501" s="3" t="str">
        <f>"201602000412"</f>
        <v>201602000412</v>
      </c>
    </row>
    <row r="3502" spans="1:2" x14ac:dyDescent="0.25">
      <c r="A3502" s="3">
        <v>3497</v>
      </c>
      <c r="B3502" s="3" t="str">
        <f>"201603000304"</f>
        <v>201603000304</v>
      </c>
    </row>
    <row r="3503" spans="1:2" x14ac:dyDescent="0.25">
      <c r="A3503" s="3">
        <v>3498</v>
      </c>
      <c r="B3503" s="3" t="str">
        <f>"201603000453"</f>
        <v>201603000453</v>
      </c>
    </row>
    <row r="3504" spans="1:2" x14ac:dyDescent="0.25">
      <c r="A3504" s="3">
        <v>3499</v>
      </c>
      <c r="B3504" s="3" t="str">
        <f>"201603000597"</f>
        <v>201603000597</v>
      </c>
    </row>
    <row r="3505" spans="1:2" x14ac:dyDescent="0.25">
      <c r="A3505" s="3">
        <v>3500</v>
      </c>
      <c r="B3505" s="3" t="str">
        <f>"201604000080"</f>
        <v>201604000080</v>
      </c>
    </row>
    <row r="3506" spans="1:2" x14ac:dyDescent="0.25">
      <c r="A3506" s="3">
        <v>3501</v>
      </c>
      <c r="B3506" s="3" t="str">
        <f>"201604000252"</f>
        <v>201604000252</v>
      </c>
    </row>
    <row r="3507" spans="1:2" x14ac:dyDescent="0.25">
      <c r="A3507" s="3">
        <v>3502</v>
      </c>
      <c r="B3507" s="3" t="str">
        <f>"201604001123"</f>
        <v>201604001123</v>
      </c>
    </row>
    <row r="3508" spans="1:2" x14ac:dyDescent="0.25">
      <c r="A3508" s="3">
        <v>3503</v>
      </c>
      <c r="B3508" s="3" t="str">
        <f>"201604001192"</f>
        <v>201604001192</v>
      </c>
    </row>
    <row r="3509" spans="1:2" x14ac:dyDescent="0.25">
      <c r="A3509" s="3">
        <v>3504</v>
      </c>
      <c r="B3509" s="3" t="str">
        <f>"201604001509"</f>
        <v>201604001509</v>
      </c>
    </row>
    <row r="3510" spans="1:2" x14ac:dyDescent="0.25">
      <c r="A3510" s="3">
        <v>3505</v>
      </c>
      <c r="B3510" s="3" t="str">
        <f>"201604003287"</f>
        <v>201604003287</v>
      </c>
    </row>
    <row r="3511" spans="1:2" x14ac:dyDescent="0.25">
      <c r="A3511" s="3">
        <v>3506</v>
      </c>
      <c r="B3511" s="3" t="str">
        <f>"201604003797"</f>
        <v>201604003797</v>
      </c>
    </row>
    <row r="3512" spans="1:2" x14ac:dyDescent="0.25">
      <c r="A3512" s="3">
        <v>3507</v>
      </c>
      <c r="B3512" s="3" t="str">
        <f>"201604004771"</f>
        <v>201604004771</v>
      </c>
    </row>
    <row r="3513" spans="1:2" x14ac:dyDescent="0.25">
      <c r="A3513" s="3">
        <v>3508</v>
      </c>
      <c r="B3513" s="3" t="str">
        <f>"201604005069"</f>
        <v>201604005069</v>
      </c>
    </row>
    <row r="3514" spans="1:2" x14ac:dyDescent="0.25">
      <c r="A3514" s="3">
        <v>3509</v>
      </c>
      <c r="B3514" s="3" t="str">
        <f>"201604005485"</f>
        <v>201604005485</v>
      </c>
    </row>
    <row r="3515" spans="1:2" ht="15" customHeight="1" x14ac:dyDescent="0.25">
      <c r="A3515" s="3">
        <v>3510</v>
      </c>
      <c r="B3515" s="3" t="str">
        <f>"201604006399"</f>
        <v>201604006399</v>
      </c>
    </row>
    <row r="3516" spans="1:2" ht="15" customHeight="1" x14ac:dyDescent="0.25">
      <c r="A3516" s="3">
        <v>3511</v>
      </c>
      <c r="B3516" s="3" t="str">
        <f>"201606000157"</f>
        <v>201606000157</v>
      </c>
    </row>
    <row r="3517" spans="1:2" x14ac:dyDescent="0.25">
      <c r="B3517"/>
    </row>
    <row r="3518" spans="1:2" x14ac:dyDescent="0.25">
      <c r="B3518"/>
    </row>
  </sheetData>
  <sortState ref="A6:B3516">
    <sortCondition ref="B6:B3516"/>
  </sortState>
  <mergeCells count="2"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09"/>
  <sheetViews>
    <sheetView workbookViewId="0">
      <selection sqref="A1:B1"/>
    </sheetView>
  </sheetViews>
  <sheetFormatPr defaultRowHeight="15" x14ac:dyDescent="0.25"/>
  <cols>
    <col min="1" max="1" width="5.5703125" style="2" customWidth="1"/>
    <col min="2" max="2" width="30.42578125" style="2" customWidth="1"/>
  </cols>
  <sheetData>
    <row r="1" spans="1:2" ht="35.25" customHeight="1" x14ac:dyDescent="0.25">
      <c r="A1" s="12" t="s">
        <v>0</v>
      </c>
      <c r="B1" s="13"/>
    </row>
    <row r="2" spans="1:2" ht="20.25" customHeight="1" x14ac:dyDescent="0.25">
      <c r="A2" s="11"/>
      <c r="B2" s="9"/>
    </row>
    <row r="3" spans="1:2" ht="64.5" customHeight="1" x14ac:dyDescent="0.25">
      <c r="A3" s="14" t="s">
        <v>20</v>
      </c>
      <c r="B3" s="16"/>
    </row>
    <row r="4" spans="1:2" ht="24.75" customHeight="1" x14ac:dyDescent="0.25">
      <c r="A4" s="7"/>
      <c r="B4" s="10"/>
    </row>
    <row r="5" spans="1:2" x14ac:dyDescent="0.25">
      <c r="A5" s="1" t="s">
        <v>1</v>
      </c>
      <c r="B5" s="1" t="s">
        <v>4</v>
      </c>
    </row>
    <row r="6" spans="1:2" x14ac:dyDescent="0.25">
      <c r="A6" s="3">
        <v>1</v>
      </c>
      <c r="B6" s="3" t="str">
        <f>"00001568"</f>
        <v>00001568</v>
      </c>
    </row>
    <row r="7" spans="1:2" x14ac:dyDescent="0.25">
      <c r="A7" s="3">
        <v>2</v>
      </c>
      <c r="B7" s="3" t="str">
        <f>"00001763"</f>
        <v>00001763</v>
      </c>
    </row>
    <row r="8" spans="1:2" x14ac:dyDescent="0.25">
      <c r="A8" s="3">
        <v>3</v>
      </c>
      <c r="B8" s="3" t="str">
        <f>"00001819"</f>
        <v>00001819</v>
      </c>
    </row>
    <row r="9" spans="1:2" x14ac:dyDescent="0.25">
      <c r="A9" s="3">
        <v>4</v>
      </c>
      <c r="B9" s="3" t="str">
        <f>"00001853"</f>
        <v>00001853</v>
      </c>
    </row>
    <row r="10" spans="1:2" x14ac:dyDescent="0.25">
      <c r="A10" s="3">
        <v>5</v>
      </c>
      <c r="B10" s="3" t="str">
        <f>"00002345"</f>
        <v>00002345</v>
      </c>
    </row>
    <row r="11" spans="1:2" x14ac:dyDescent="0.25">
      <c r="A11" s="3">
        <v>6</v>
      </c>
      <c r="B11" s="3" t="str">
        <f>"00002357"</f>
        <v>00002357</v>
      </c>
    </row>
    <row r="12" spans="1:2" x14ac:dyDescent="0.25">
      <c r="A12" s="3">
        <v>7</v>
      </c>
      <c r="B12" s="3" t="str">
        <f>"00002406"</f>
        <v>00002406</v>
      </c>
    </row>
    <row r="13" spans="1:2" x14ac:dyDescent="0.25">
      <c r="A13" s="3">
        <v>8</v>
      </c>
      <c r="B13" s="3" t="str">
        <f>"00002408"</f>
        <v>00002408</v>
      </c>
    </row>
    <row r="14" spans="1:2" x14ac:dyDescent="0.25">
      <c r="A14" s="3">
        <v>9</v>
      </c>
      <c r="B14" s="3" t="str">
        <f>"00002429"</f>
        <v>00002429</v>
      </c>
    </row>
    <row r="15" spans="1:2" x14ac:dyDescent="0.25">
      <c r="A15" s="3">
        <v>10</v>
      </c>
      <c r="B15" s="3" t="str">
        <f>"00002491"</f>
        <v>00002491</v>
      </c>
    </row>
    <row r="16" spans="1:2" x14ac:dyDescent="0.25">
      <c r="A16" s="3">
        <v>11</v>
      </c>
      <c r="B16" s="3" t="str">
        <f>"00003342"</f>
        <v>00003342</v>
      </c>
    </row>
    <row r="17" spans="1:2" x14ac:dyDescent="0.25">
      <c r="A17" s="3">
        <v>12</v>
      </c>
      <c r="B17" s="3" t="str">
        <f>"00003375"</f>
        <v>00003375</v>
      </c>
    </row>
    <row r="18" spans="1:2" x14ac:dyDescent="0.25">
      <c r="A18" s="3">
        <v>13</v>
      </c>
      <c r="B18" s="3" t="str">
        <f>"00003494"</f>
        <v>00003494</v>
      </c>
    </row>
    <row r="19" spans="1:2" x14ac:dyDescent="0.25">
      <c r="A19" s="3">
        <v>14</v>
      </c>
      <c r="B19" s="3" t="str">
        <f>"00003649"</f>
        <v>00003649</v>
      </c>
    </row>
    <row r="20" spans="1:2" x14ac:dyDescent="0.25">
      <c r="A20" s="3">
        <v>15</v>
      </c>
      <c r="B20" s="3" t="str">
        <f>"00003665"</f>
        <v>00003665</v>
      </c>
    </row>
    <row r="21" spans="1:2" x14ac:dyDescent="0.25">
      <c r="A21" s="3">
        <v>16</v>
      </c>
      <c r="B21" s="3" t="str">
        <f>"00003820"</f>
        <v>00003820</v>
      </c>
    </row>
    <row r="22" spans="1:2" x14ac:dyDescent="0.25">
      <c r="A22" s="3">
        <v>17</v>
      </c>
      <c r="B22" s="3" t="str">
        <f>"00004054"</f>
        <v>00004054</v>
      </c>
    </row>
    <row r="23" spans="1:2" x14ac:dyDescent="0.25">
      <c r="A23" s="3">
        <v>18</v>
      </c>
      <c r="B23" s="3" t="str">
        <f>"00004690"</f>
        <v>00004690</v>
      </c>
    </row>
    <row r="24" spans="1:2" x14ac:dyDescent="0.25">
      <c r="A24" s="3">
        <v>19</v>
      </c>
      <c r="B24" s="3" t="str">
        <f>"00004715"</f>
        <v>00004715</v>
      </c>
    </row>
    <row r="25" spans="1:2" x14ac:dyDescent="0.25">
      <c r="A25" s="3">
        <v>20</v>
      </c>
      <c r="B25" s="3" t="str">
        <f>"00005480"</f>
        <v>00005480</v>
      </c>
    </row>
    <row r="26" spans="1:2" x14ac:dyDescent="0.25">
      <c r="A26" s="3">
        <v>21</v>
      </c>
      <c r="B26" s="3" t="str">
        <f>"00005485"</f>
        <v>00005485</v>
      </c>
    </row>
    <row r="27" spans="1:2" x14ac:dyDescent="0.25">
      <c r="A27" s="3">
        <v>22</v>
      </c>
      <c r="B27" s="3" t="str">
        <f>"00005590"</f>
        <v>00005590</v>
      </c>
    </row>
    <row r="28" spans="1:2" x14ac:dyDescent="0.25">
      <c r="A28" s="3">
        <v>23</v>
      </c>
      <c r="B28" s="3" t="str">
        <f>"00005656"</f>
        <v>00005656</v>
      </c>
    </row>
    <row r="29" spans="1:2" x14ac:dyDescent="0.25">
      <c r="A29" s="3">
        <v>24</v>
      </c>
      <c r="B29" s="3" t="str">
        <f>"00005923"</f>
        <v>00005923</v>
      </c>
    </row>
    <row r="30" spans="1:2" x14ac:dyDescent="0.25">
      <c r="A30" s="3">
        <v>25</v>
      </c>
      <c r="B30" s="3" t="str">
        <f>"00006141"</f>
        <v>00006141</v>
      </c>
    </row>
    <row r="31" spans="1:2" x14ac:dyDescent="0.25">
      <c r="A31" s="3">
        <v>26</v>
      </c>
      <c r="B31" s="3" t="str">
        <f>"00006654"</f>
        <v>00006654</v>
      </c>
    </row>
    <row r="32" spans="1:2" x14ac:dyDescent="0.25">
      <c r="A32" s="3">
        <v>27</v>
      </c>
      <c r="B32" s="3" t="str">
        <f>"00007391"</f>
        <v>00007391</v>
      </c>
    </row>
    <row r="33" spans="1:2" x14ac:dyDescent="0.25">
      <c r="A33" s="3">
        <v>28</v>
      </c>
      <c r="B33" s="3" t="str">
        <f>"00007562"</f>
        <v>00007562</v>
      </c>
    </row>
    <row r="34" spans="1:2" x14ac:dyDescent="0.25">
      <c r="A34" s="3">
        <v>29</v>
      </c>
      <c r="B34" s="3" t="str">
        <f>"00009340"</f>
        <v>00009340</v>
      </c>
    </row>
    <row r="35" spans="1:2" x14ac:dyDescent="0.25">
      <c r="A35" s="3">
        <v>30</v>
      </c>
      <c r="B35" s="3" t="str">
        <f>"00010142"</f>
        <v>00010142</v>
      </c>
    </row>
    <row r="36" spans="1:2" x14ac:dyDescent="0.25">
      <c r="A36" s="3">
        <v>31</v>
      </c>
      <c r="B36" s="3" t="str">
        <f>"00010637"</f>
        <v>00010637</v>
      </c>
    </row>
    <row r="37" spans="1:2" x14ac:dyDescent="0.25">
      <c r="A37" s="3">
        <v>32</v>
      </c>
      <c r="B37" s="3" t="str">
        <f>"00011004"</f>
        <v>00011004</v>
      </c>
    </row>
    <row r="38" spans="1:2" x14ac:dyDescent="0.25">
      <c r="A38" s="3">
        <v>33</v>
      </c>
      <c r="B38" s="3" t="str">
        <f>"00012477"</f>
        <v>00012477</v>
      </c>
    </row>
    <row r="39" spans="1:2" x14ac:dyDescent="0.25">
      <c r="A39" s="3">
        <v>34</v>
      </c>
      <c r="B39" s="3" t="str">
        <f>"00013389"</f>
        <v>00013389</v>
      </c>
    </row>
    <row r="40" spans="1:2" x14ac:dyDescent="0.25">
      <c r="A40" s="3">
        <v>35</v>
      </c>
      <c r="B40" s="3" t="str">
        <f>"00013645"</f>
        <v>00013645</v>
      </c>
    </row>
    <row r="41" spans="1:2" x14ac:dyDescent="0.25">
      <c r="A41" s="3">
        <v>36</v>
      </c>
      <c r="B41" s="3" t="str">
        <f>"00013700"</f>
        <v>00013700</v>
      </c>
    </row>
    <row r="42" spans="1:2" x14ac:dyDescent="0.25">
      <c r="A42" s="3">
        <v>37</v>
      </c>
      <c r="B42" s="3" t="str">
        <f>"00013841"</f>
        <v>00013841</v>
      </c>
    </row>
    <row r="43" spans="1:2" x14ac:dyDescent="0.25">
      <c r="A43" s="3">
        <v>38</v>
      </c>
      <c r="B43" s="3" t="str">
        <f>"00014129"</f>
        <v>00014129</v>
      </c>
    </row>
    <row r="44" spans="1:2" x14ac:dyDescent="0.25">
      <c r="A44" s="3">
        <v>39</v>
      </c>
      <c r="B44" s="3" t="str">
        <f>"00015614"</f>
        <v>00015614</v>
      </c>
    </row>
    <row r="45" spans="1:2" x14ac:dyDescent="0.25">
      <c r="A45" s="3">
        <v>40</v>
      </c>
      <c r="B45" s="3" t="str">
        <f>"00015662"</f>
        <v>00015662</v>
      </c>
    </row>
    <row r="46" spans="1:2" x14ac:dyDescent="0.25">
      <c r="A46" s="3">
        <v>41</v>
      </c>
      <c r="B46" s="3" t="str">
        <f>"00015663"</f>
        <v>00015663</v>
      </c>
    </row>
    <row r="47" spans="1:2" x14ac:dyDescent="0.25">
      <c r="A47" s="3">
        <v>42</v>
      </c>
      <c r="B47" s="3" t="str">
        <f>"00015849"</f>
        <v>00015849</v>
      </c>
    </row>
    <row r="48" spans="1:2" x14ac:dyDescent="0.25">
      <c r="A48" s="3">
        <v>43</v>
      </c>
      <c r="B48" s="3" t="str">
        <f>"00015941"</f>
        <v>00015941</v>
      </c>
    </row>
    <row r="49" spans="1:2" x14ac:dyDescent="0.25">
      <c r="A49" s="3">
        <v>44</v>
      </c>
      <c r="B49" s="3" t="str">
        <f>"00016019"</f>
        <v>00016019</v>
      </c>
    </row>
    <row r="50" spans="1:2" x14ac:dyDescent="0.25">
      <c r="A50" s="3">
        <v>45</v>
      </c>
      <c r="B50" s="3" t="str">
        <f>"00016042"</f>
        <v>00016042</v>
      </c>
    </row>
    <row r="51" spans="1:2" x14ac:dyDescent="0.25">
      <c r="A51" s="3">
        <v>46</v>
      </c>
      <c r="B51" s="3" t="str">
        <f>"00016056"</f>
        <v>00016056</v>
      </c>
    </row>
    <row r="52" spans="1:2" x14ac:dyDescent="0.25">
      <c r="A52" s="3">
        <v>47</v>
      </c>
      <c r="B52" s="3" t="str">
        <f>"00016062"</f>
        <v>00016062</v>
      </c>
    </row>
    <row r="53" spans="1:2" x14ac:dyDescent="0.25">
      <c r="A53" s="3">
        <v>48</v>
      </c>
      <c r="B53" s="3" t="str">
        <f>"00016078"</f>
        <v>00016078</v>
      </c>
    </row>
    <row r="54" spans="1:2" x14ac:dyDescent="0.25">
      <c r="A54" s="3">
        <v>49</v>
      </c>
      <c r="B54" s="3" t="str">
        <f>"00016079"</f>
        <v>00016079</v>
      </c>
    </row>
    <row r="55" spans="1:2" x14ac:dyDescent="0.25">
      <c r="A55" s="3">
        <v>50</v>
      </c>
      <c r="B55" s="3" t="str">
        <f>"00016092"</f>
        <v>00016092</v>
      </c>
    </row>
    <row r="56" spans="1:2" x14ac:dyDescent="0.25">
      <c r="A56" s="3">
        <v>51</v>
      </c>
      <c r="B56" s="3" t="str">
        <f>"00016128"</f>
        <v>00016128</v>
      </c>
    </row>
    <row r="57" spans="1:2" x14ac:dyDescent="0.25">
      <c r="A57" s="3">
        <v>52</v>
      </c>
      <c r="B57" s="3" t="str">
        <f>"00016133"</f>
        <v>00016133</v>
      </c>
    </row>
    <row r="58" spans="1:2" x14ac:dyDescent="0.25">
      <c r="A58" s="3">
        <v>53</v>
      </c>
      <c r="B58" s="3" t="str">
        <f>"00016135"</f>
        <v>00016135</v>
      </c>
    </row>
    <row r="59" spans="1:2" x14ac:dyDescent="0.25">
      <c r="A59" s="3">
        <v>54</v>
      </c>
      <c r="B59" s="3" t="str">
        <f>"00016136"</f>
        <v>00016136</v>
      </c>
    </row>
    <row r="60" spans="1:2" x14ac:dyDescent="0.25">
      <c r="A60" s="3">
        <v>55</v>
      </c>
      <c r="B60" s="3" t="str">
        <f>"00016187"</f>
        <v>00016187</v>
      </c>
    </row>
    <row r="61" spans="1:2" x14ac:dyDescent="0.25">
      <c r="A61" s="3">
        <v>56</v>
      </c>
      <c r="B61" s="3" t="str">
        <f>"00016196"</f>
        <v>00016196</v>
      </c>
    </row>
    <row r="62" spans="1:2" x14ac:dyDescent="0.25">
      <c r="A62" s="3">
        <v>57</v>
      </c>
      <c r="B62" s="3" t="str">
        <f>"00016205"</f>
        <v>00016205</v>
      </c>
    </row>
    <row r="63" spans="1:2" x14ac:dyDescent="0.25">
      <c r="A63" s="3">
        <v>58</v>
      </c>
      <c r="B63" s="3" t="str">
        <f>"00016238"</f>
        <v>00016238</v>
      </c>
    </row>
    <row r="64" spans="1:2" x14ac:dyDescent="0.25">
      <c r="A64" s="3">
        <v>59</v>
      </c>
      <c r="B64" s="3" t="str">
        <f>"00016338"</f>
        <v>00016338</v>
      </c>
    </row>
    <row r="65" spans="1:2" x14ac:dyDescent="0.25">
      <c r="A65" s="3">
        <v>60</v>
      </c>
      <c r="B65" s="3" t="str">
        <f>"00016339"</f>
        <v>00016339</v>
      </c>
    </row>
    <row r="66" spans="1:2" x14ac:dyDescent="0.25">
      <c r="A66" s="3">
        <v>61</v>
      </c>
      <c r="B66" s="3" t="str">
        <f>"00016344"</f>
        <v>00016344</v>
      </c>
    </row>
    <row r="67" spans="1:2" x14ac:dyDescent="0.25">
      <c r="A67" s="3">
        <v>62</v>
      </c>
      <c r="B67" s="3" t="str">
        <f>"00016395"</f>
        <v>00016395</v>
      </c>
    </row>
    <row r="68" spans="1:2" x14ac:dyDescent="0.25">
      <c r="A68" s="3">
        <v>63</v>
      </c>
      <c r="B68" s="3" t="str">
        <f>"00016410"</f>
        <v>00016410</v>
      </c>
    </row>
    <row r="69" spans="1:2" x14ac:dyDescent="0.25">
      <c r="A69" s="3">
        <v>64</v>
      </c>
      <c r="B69" s="3" t="str">
        <f>"00016489"</f>
        <v>00016489</v>
      </c>
    </row>
    <row r="70" spans="1:2" x14ac:dyDescent="0.25">
      <c r="A70" s="3">
        <v>65</v>
      </c>
      <c r="B70" s="3" t="str">
        <f>"00016506"</f>
        <v>00016506</v>
      </c>
    </row>
    <row r="71" spans="1:2" x14ac:dyDescent="0.25">
      <c r="A71" s="3">
        <v>66</v>
      </c>
      <c r="B71" s="3" t="str">
        <f>"00016590"</f>
        <v>00016590</v>
      </c>
    </row>
    <row r="72" spans="1:2" x14ac:dyDescent="0.25">
      <c r="A72" s="3">
        <v>67</v>
      </c>
      <c r="B72" s="3" t="str">
        <f>"00016607"</f>
        <v>00016607</v>
      </c>
    </row>
    <row r="73" spans="1:2" x14ac:dyDescent="0.25">
      <c r="A73" s="3">
        <v>68</v>
      </c>
      <c r="B73" s="3" t="str">
        <f>"00016611"</f>
        <v>00016611</v>
      </c>
    </row>
    <row r="74" spans="1:2" x14ac:dyDescent="0.25">
      <c r="A74" s="3">
        <v>69</v>
      </c>
      <c r="B74" s="3" t="str">
        <f>"00016615"</f>
        <v>00016615</v>
      </c>
    </row>
    <row r="75" spans="1:2" x14ac:dyDescent="0.25">
      <c r="A75" s="3">
        <v>70</v>
      </c>
      <c r="B75" s="3" t="str">
        <f>"00016676"</f>
        <v>00016676</v>
      </c>
    </row>
    <row r="76" spans="1:2" x14ac:dyDescent="0.25">
      <c r="A76" s="3">
        <v>71</v>
      </c>
      <c r="B76" s="3" t="str">
        <f>"00016700"</f>
        <v>00016700</v>
      </c>
    </row>
    <row r="77" spans="1:2" x14ac:dyDescent="0.25">
      <c r="A77" s="3">
        <v>72</v>
      </c>
      <c r="B77" s="3" t="str">
        <f>"00016726"</f>
        <v>00016726</v>
      </c>
    </row>
    <row r="78" spans="1:2" x14ac:dyDescent="0.25">
      <c r="A78" s="3">
        <v>73</v>
      </c>
      <c r="B78" s="3" t="str">
        <f>"00016735"</f>
        <v>00016735</v>
      </c>
    </row>
    <row r="79" spans="1:2" x14ac:dyDescent="0.25">
      <c r="A79" s="3">
        <v>74</v>
      </c>
      <c r="B79" s="3" t="str">
        <f>"00016827"</f>
        <v>00016827</v>
      </c>
    </row>
    <row r="80" spans="1:2" x14ac:dyDescent="0.25">
      <c r="A80" s="3">
        <v>75</v>
      </c>
      <c r="B80" s="3" t="str">
        <f>"00016851"</f>
        <v>00016851</v>
      </c>
    </row>
    <row r="81" spans="1:2" x14ac:dyDescent="0.25">
      <c r="A81" s="3">
        <v>76</v>
      </c>
      <c r="B81" s="3" t="str">
        <f>"00016902"</f>
        <v>00016902</v>
      </c>
    </row>
    <row r="82" spans="1:2" x14ac:dyDescent="0.25">
      <c r="A82" s="3">
        <v>77</v>
      </c>
      <c r="B82" s="3" t="str">
        <f>"00016929"</f>
        <v>00016929</v>
      </c>
    </row>
    <row r="83" spans="1:2" x14ac:dyDescent="0.25">
      <c r="A83" s="3">
        <v>78</v>
      </c>
      <c r="B83" s="3" t="str">
        <f>"00016987"</f>
        <v>00016987</v>
      </c>
    </row>
    <row r="84" spans="1:2" x14ac:dyDescent="0.25">
      <c r="A84" s="3">
        <v>79</v>
      </c>
      <c r="B84" s="3" t="str">
        <f>"00017024"</f>
        <v>00017024</v>
      </c>
    </row>
    <row r="85" spans="1:2" x14ac:dyDescent="0.25">
      <c r="A85" s="3">
        <v>80</v>
      </c>
      <c r="B85" s="3" t="str">
        <f>"00017054"</f>
        <v>00017054</v>
      </c>
    </row>
    <row r="86" spans="1:2" x14ac:dyDescent="0.25">
      <c r="A86" s="3">
        <v>81</v>
      </c>
      <c r="B86" s="3" t="str">
        <f>"00017057"</f>
        <v>00017057</v>
      </c>
    </row>
    <row r="87" spans="1:2" x14ac:dyDescent="0.25">
      <c r="A87" s="3">
        <v>82</v>
      </c>
      <c r="B87" s="3" t="str">
        <f>"00017064"</f>
        <v>00017064</v>
      </c>
    </row>
    <row r="88" spans="1:2" x14ac:dyDescent="0.25">
      <c r="A88" s="3">
        <v>83</v>
      </c>
      <c r="B88" s="3" t="str">
        <f>"00017093"</f>
        <v>00017093</v>
      </c>
    </row>
    <row r="89" spans="1:2" x14ac:dyDescent="0.25">
      <c r="A89" s="3">
        <v>84</v>
      </c>
      <c r="B89" s="3" t="str">
        <f>"00017125"</f>
        <v>00017125</v>
      </c>
    </row>
    <row r="90" spans="1:2" x14ac:dyDescent="0.25">
      <c r="A90" s="3">
        <v>85</v>
      </c>
      <c r="B90" s="3" t="str">
        <f>"00017164"</f>
        <v>00017164</v>
      </c>
    </row>
    <row r="91" spans="1:2" x14ac:dyDescent="0.25">
      <c r="A91" s="3">
        <v>86</v>
      </c>
      <c r="B91" s="3" t="str">
        <f>"00017198"</f>
        <v>00017198</v>
      </c>
    </row>
    <row r="92" spans="1:2" x14ac:dyDescent="0.25">
      <c r="A92" s="3">
        <v>87</v>
      </c>
      <c r="B92" s="3" t="str">
        <f>"00017315"</f>
        <v>00017315</v>
      </c>
    </row>
    <row r="93" spans="1:2" x14ac:dyDescent="0.25">
      <c r="A93" s="3">
        <v>88</v>
      </c>
      <c r="B93" s="3" t="str">
        <f>"00017362"</f>
        <v>00017362</v>
      </c>
    </row>
    <row r="94" spans="1:2" x14ac:dyDescent="0.25">
      <c r="A94" s="3">
        <v>89</v>
      </c>
      <c r="B94" s="3" t="str">
        <f>"00017379"</f>
        <v>00017379</v>
      </c>
    </row>
    <row r="95" spans="1:2" x14ac:dyDescent="0.25">
      <c r="A95" s="3">
        <v>90</v>
      </c>
      <c r="B95" s="3" t="str">
        <f>"00017407"</f>
        <v>00017407</v>
      </c>
    </row>
    <row r="96" spans="1:2" x14ac:dyDescent="0.25">
      <c r="A96" s="3">
        <v>91</v>
      </c>
      <c r="B96" s="3" t="str">
        <f>"00017436"</f>
        <v>00017436</v>
      </c>
    </row>
    <row r="97" spans="1:2" x14ac:dyDescent="0.25">
      <c r="A97" s="3">
        <v>92</v>
      </c>
      <c r="B97" s="3" t="str">
        <f>"00017452"</f>
        <v>00017452</v>
      </c>
    </row>
    <row r="98" spans="1:2" x14ac:dyDescent="0.25">
      <c r="A98" s="3">
        <v>93</v>
      </c>
      <c r="B98" s="3" t="str">
        <f>"00017454"</f>
        <v>00017454</v>
      </c>
    </row>
    <row r="99" spans="1:2" x14ac:dyDescent="0.25">
      <c r="A99" s="3">
        <v>94</v>
      </c>
      <c r="B99" s="3" t="str">
        <f>"00017464"</f>
        <v>00017464</v>
      </c>
    </row>
    <row r="100" spans="1:2" x14ac:dyDescent="0.25">
      <c r="A100" s="3">
        <v>95</v>
      </c>
      <c r="B100" s="3" t="str">
        <f>"00017465"</f>
        <v>00017465</v>
      </c>
    </row>
    <row r="101" spans="1:2" x14ac:dyDescent="0.25">
      <c r="A101" s="3">
        <v>96</v>
      </c>
      <c r="B101" s="3" t="str">
        <f>"00017469"</f>
        <v>00017469</v>
      </c>
    </row>
    <row r="102" spans="1:2" x14ac:dyDescent="0.25">
      <c r="A102" s="3">
        <v>97</v>
      </c>
      <c r="B102" s="3" t="str">
        <f>"00017502"</f>
        <v>00017502</v>
      </c>
    </row>
    <row r="103" spans="1:2" x14ac:dyDescent="0.25">
      <c r="A103" s="3">
        <v>98</v>
      </c>
      <c r="B103" s="3" t="str">
        <f>"00017517"</f>
        <v>00017517</v>
      </c>
    </row>
    <row r="104" spans="1:2" x14ac:dyDescent="0.25">
      <c r="A104" s="3">
        <v>99</v>
      </c>
      <c r="B104" s="3" t="str">
        <f>"00017563"</f>
        <v>00017563</v>
      </c>
    </row>
    <row r="105" spans="1:2" x14ac:dyDescent="0.25">
      <c r="A105" s="3">
        <v>100</v>
      </c>
      <c r="B105" s="3" t="str">
        <f>"00017646"</f>
        <v>00017646</v>
      </c>
    </row>
    <row r="106" spans="1:2" x14ac:dyDescent="0.25">
      <c r="A106" s="3">
        <v>101</v>
      </c>
      <c r="B106" s="3" t="str">
        <f>"00017686"</f>
        <v>00017686</v>
      </c>
    </row>
    <row r="107" spans="1:2" x14ac:dyDescent="0.25">
      <c r="A107" s="3">
        <v>102</v>
      </c>
      <c r="B107" s="3" t="str">
        <f>"00017762"</f>
        <v>00017762</v>
      </c>
    </row>
    <row r="108" spans="1:2" x14ac:dyDescent="0.25">
      <c r="A108" s="3">
        <v>103</v>
      </c>
      <c r="B108" s="3" t="str">
        <f>"00017820"</f>
        <v>00017820</v>
      </c>
    </row>
    <row r="109" spans="1:2" x14ac:dyDescent="0.25">
      <c r="A109" s="3">
        <v>104</v>
      </c>
      <c r="B109" s="3" t="str">
        <f>"00017893"</f>
        <v>00017893</v>
      </c>
    </row>
    <row r="110" spans="1:2" x14ac:dyDescent="0.25">
      <c r="A110" s="3">
        <v>105</v>
      </c>
      <c r="B110" s="3" t="str">
        <f>"00017932"</f>
        <v>00017932</v>
      </c>
    </row>
    <row r="111" spans="1:2" x14ac:dyDescent="0.25">
      <c r="A111" s="3">
        <v>106</v>
      </c>
      <c r="B111" s="3" t="str">
        <f>"00018037"</f>
        <v>00018037</v>
      </c>
    </row>
    <row r="112" spans="1:2" x14ac:dyDescent="0.25">
      <c r="A112" s="3">
        <v>107</v>
      </c>
      <c r="B112" s="3" t="str">
        <f>"00018069"</f>
        <v>00018069</v>
      </c>
    </row>
    <row r="113" spans="1:2" x14ac:dyDescent="0.25">
      <c r="A113" s="3">
        <v>108</v>
      </c>
      <c r="B113" s="3" t="str">
        <f>"00018073"</f>
        <v>00018073</v>
      </c>
    </row>
    <row r="114" spans="1:2" x14ac:dyDescent="0.25">
      <c r="A114" s="3">
        <v>109</v>
      </c>
      <c r="B114" s="3" t="str">
        <f>"00018128"</f>
        <v>00018128</v>
      </c>
    </row>
    <row r="115" spans="1:2" x14ac:dyDescent="0.25">
      <c r="A115" s="3">
        <v>110</v>
      </c>
      <c r="B115" s="3" t="str">
        <f>"00018130"</f>
        <v>00018130</v>
      </c>
    </row>
    <row r="116" spans="1:2" x14ac:dyDescent="0.25">
      <c r="A116" s="3">
        <v>111</v>
      </c>
      <c r="B116" s="3" t="str">
        <f>"00018139"</f>
        <v>00018139</v>
      </c>
    </row>
    <row r="117" spans="1:2" x14ac:dyDescent="0.25">
      <c r="A117" s="3">
        <v>112</v>
      </c>
      <c r="B117" s="3" t="str">
        <f>"00018165"</f>
        <v>00018165</v>
      </c>
    </row>
    <row r="118" spans="1:2" x14ac:dyDescent="0.25">
      <c r="A118" s="3">
        <v>113</v>
      </c>
      <c r="B118" s="3" t="str">
        <f>"00018193"</f>
        <v>00018193</v>
      </c>
    </row>
    <row r="119" spans="1:2" x14ac:dyDescent="0.25">
      <c r="A119" s="3">
        <v>114</v>
      </c>
      <c r="B119" s="3" t="str">
        <f>"00018204"</f>
        <v>00018204</v>
      </c>
    </row>
    <row r="120" spans="1:2" x14ac:dyDescent="0.25">
      <c r="A120" s="3">
        <v>115</v>
      </c>
      <c r="B120" s="3" t="str">
        <f>"00018222"</f>
        <v>00018222</v>
      </c>
    </row>
    <row r="121" spans="1:2" x14ac:dyDescent="0.25">
      <c r="A121" s="3">
        <v>116</v>
      </c>
      <c r="B121" s="3" t="str">
        <f>"00018290"</f>
        <v>00018290</v>
      </c>
    </row>
    <row r="122" spans="1:2" x14ac:dyDescent="0.25">
      <c r="A122" s="3">
        <v>117</v>
      </c>
      <c r="B122" s="3" t="str">
        <f>"00018317"</f>
        <v>00018317</v>
      </c>
    </row>
    <row r="123" spans="1:2" x14ac:dyDescent="0.25">
      <c r="A123" s="3">
        <v>118</v>
      </c>
      <c r="B123" s="3" t="str">
        <f>"00018350"</f>
        <v>00018350</v>
      </c>
    </row>
    <row r="124" spans="1:2" x14ac:dyDescent="0.25">
      <c r="A124" s="3">
        <v>119</v>
      </c>
      <c r="B124" s="3" t="str">
        <f>"00018385"</f>
        <v>00018385</v>
      </c>
    </row>
    <row r="125" spans="1:2" x14ac:dyDescent="0.25">
      <c r="A125" s="3">
        <v>120</v>
      </c>
      <c r="B125" s="3" t="str">
        <f>"00018390"</f>
        <v>00018390</v>
      </c>
    </row>
    <row r="126" spans="1:2" x14ac:dyDescent="0.25">
      <c r="A126" s="3">
        <v>121</v>
      </c>
      <c r="B126" s="3" t="str">
        <f>"00018542"</f>
        <v>00018542</v>
      </c>
    </row>
    <row r="127" spans="1:2" x14ac:dyDescent="0.25">
      <c r="A127" s="3">
        <v>122</v>
      </c>
      <c r="B127" s="3" t="str">
        <f>"00018807"</f>
        <v>00018807</v>
      </c>
    </row>
    <row r="128" spans="1:2" x14ac:dyDescent="0.25">
      <c r="A128" s="3">
        <v>123</v>
      </c>
      <c r="B128" s="3" t="str">
        <f>"00018842"</f>
        <v>00018842</v>
      </c>
    </row>
    <row r="129" spans="1:2" x14ac:dyDescent="0.25">
      <c r="A129" s="3">
        <v>124</v>
      </c>
      <c r="B129" s="3" t="str">
        <f>"00018869"</f>
        <v>00018869</v>
      </c>
    </row>
    <row r="130" spans="1:2" x14ac:dyDescent="0.25">
      <c r="A130" s="3">
        <v>125</v>
      </c>
      <c r="B130" s="3" t="str">
        <f>"00018875"</f>
        <v>00018875</v>
      </c>
    </row>
    <row r="131" spans="1:2" x14ac:dyDescent="0.25">
      <c r="A131" s="3">
        <v>126</v>
      </c>
      <c r="B131" s="3" t="str">
        <f>"00018922"</f>
        <v>00018922</v>
      </c>
    </row>
    <row r="132" spans="1:2" x14ac:dyDescent="0.25">
      <c r="A132" s="3">
        <v>127</v>
      </c>
      <c r="B132" s="3" t="str">
        <f>"00018957"</f>
        <v>00018957</v>
      </c>
    </row>
    <row r="133" spans="1:2" x14ac:dyDescent="0.25">
      <c r="A133" s="3">
        <v>128</v>
      </c>
      <c r="B133" s="3" t="str">
        <f>"00019038"</f>
        <v>00019038</v>
      </c>
    </row>
    <row r="134" spans="1:2" x14ac:dyDescent="0.25">
      <c r="A134" s="3">
        <v>129</v>
      </c>
      <c r="B134" s="3" t="str">
        <f>"00019081"</f>
        <v>00019081</v>
      </c>
    </row>
    <row r="135" spans="1:2" x14ac:dyDescent="0.25">
      <c r="A135" s="3">
        <v>130</v>
      </c>
      <c r="B135" s="3" t="str">
        <f>"00019162"</f>
        <v>00019162</v>
      </c>
    </row>
    <row r="136" spans="1:2" x14ac:dyDescent="0.25">
      <c r="A136" s="3">
        <v>131</v>
      </c>
      <c r="B136" s="3" t="str">
        <f>"00019427"</f>
        <v>00019427</v>
      </c>
    </row>
    <row r="137" spans="1:2" x14ac:dyDescent="0.25">
      <c r="A137" s="3">
        <v>132</v>
      </c>
      <c r="B137" s="3" t="str">
        <f>"00019545"</f>
        <v>00019545</v>
      </c>
    </row>
    <row r="138" spans="1:2" x14ac:dyDescent="0.25">
      <c r="A138" s="3">
        <v>133</v>
      </c>
      <c r="B138" s="3" t="str">
        <f>"00019598"</f>
        <v>00019598</v>
      </c>
    </row>
    <row r="139" spans="1:2" x14ac:dyDescent="0.25">
      <c r="A139" s="3">
        <v>134</v>
      </c>
      <c r="B139" s="3" t="str">
        <f>"00019640"</f>
        <v>00019640</v>
      </c>
    </row>
    <row r="140" spans="1:2" x14ac:dyDescent="0.25">
      <c r="A140" s="3">
        <v>135</v>
      </c>
      <c r="B140" s="3" t="str">
        <f>"00019694"</f>
        <v>00019694</v>
      </c>
    </row>
    <row r="141" spans="1:2" x14ac:dyDescent="0.25">
      <c r="A141" s="3">
        <v>136</v>
      </c>
      <c r="B141" s="3" t="str">
        <f>"00019732"</f>
        <v>00019732</v>
      </c>
    </row>
    <row r="142" spans="1:2" x14ac:dyDescent="0.25">
      <c r="A142" s="3">
        <v>137</v>
      </c>
      <c r="B142" s="3" t="str">
        <f>"00019770"</f>
        <v>00019770</v>
      </c>
    </row>
    <row r="143" spans="1:2" x14ac:dyDescent="0.25">
      <c r="A143" s="3">
        <v>138</v>
      </c>
      <c r="B143" s="3" t="str">
        <f>"00019781"</f>
        <v>00019781</v>
      </c>
    </row>
    <row r="144" spans="1:2" x14ac:dyDescent="0.25">
      <c r="A144" s="3">
        <v>139</v>
      </c>
      <c r="B144" s="3" t="str">
        <f>"00019919"</f>
        <v>00019919</v>
      </c>
    </row>
    <row r="145" spans="1:2" x14ac:dyDescent="0.25">
      <c r="A145" s="3">
        <v>140</v>
      </c>
      <c r="B145" s="3" t="str">
        <f>"00019925"</f>
        <v>00019925</v>
      </c>
    </row>
    <row r="146" spans="1:2" x14ac:dyDescent="0.25">
      <c r="A146" s="3">
        <v>141</v>
      </c>
      <c r="B146" s="3" t="str">
        <f>"00019974"</f>
        <v>00019974</v>
      </c>
    </row>
    <row r="147" spans="1:2" x14ac:dyDescent="0.25">
      <c r="A147" s="3">
        <v>142</v>
      </c>
      <c r="B147" s="3" t="str">
        <f>"00020037"</f>
        <v>00020037</v>
      </c>
    </row>
    <row r="148" spans="1:2" x14ac:dyDescent="0.25">
      <c r="A148" s="3">
        <v>143</v>
      </c>
      <c r="B148" s="3" t="str">
        <f>"00020100"</f>
        <v>00020100</v>
      </c>
    </row>
    <row r="149" spans="1:2" x14ac:dyDescent="0.25">
      <c r="A149" s="3">
        <v>144</v>
      </c>
      <c r="B149" s="3" t="str">
        <f>"00020101"</f>
        <v>00020101</v>
      </c>
    </row>
    <row r="150" spans="1:2" x14ac:dyDescent="0.25">
      <c r="A150" s="3">
        <v>145</v>
      </c>
      <c r="B150" s="3" t="str">
        <f>"00020169"</f>
        <v>00020169</v>
      </c>
    </row>
    <row r="151" spans="1:2" x14ac:dyDescent="0.25">
      <c r="A151" s="3">
        <v>146</v>
      </c>
      <c r="B151" s="3" t="str">
        <f>"00020179"</f>
        <v>00020179</v>
      </c>
    </row>
    <row r="152" spans="1:2" x14ac:dyDescent="0.25">
      <c r="A152" s="3">
        <v>147</v>
      </c>
      <c r="B152" s="3" t="str">
        <f>"00020229"</f>
        <v>00020229</v>
      </c>
    </row>
    <row r="153" spans="1:2" x14ac:dyDescent="0.25">
      <c r="A153" s="3">
        <v>148</v>
      </c>
      <c r="B153" s="3" t="str">
        <f>"00020257"</f>
        <v>00020257</v>
      </c>
    </row>
    <row r="154" spans="1:2" x14ac:dyDescent="0.25">
      <c r="A154" s="3">
        <v>149</v>
      </c>
      <c r="B154" s="3" t="str">
        <f>"00020265"</f>
        <v>00020265</v>
      </c>
    </row>
    <row r="155" spans="1:2" x14ac:dyDescent="0.25">
      <c r="A155" s="3">
        <v>150</v>
      </c>
      <c r="B155" s="3" t="str">
        <f>"00020294"</f>
        <v>00020294</v>
      </c>
    </row>
    <row r="156" spans="1:2" x14ac:dyDescent="0.25">
      <c r="A156" s="3">
        <v>151</v>
      </c>
      <c r="B156" s="3" t="str">
        <f>"00020300"</f>
        <v>00020300</v>
      </c>
    </row>
    <row r="157" spans="1:2" x14ac:dyDescent="0.25">
      <c r="A157" s="3">
        <v>152</v>
      </c>
      <c r="B157" s="3" t="str">
        <f>"00020334"</f>
        <v>00020334</v>
      </c>
    </row>
    <row r="158" spans="1:2" x14ac:dyDescent="0.25">
      <c r="A158" s="3">
        <v>153</v>
      </c>
      <c r="B158" s="3" t="str">
        <f>"00020341"</f>
        <v>00020341</v>
      </c>
    </row>
    <row r="159" spans="1:2" x14ac:dyDescent="0.25">
      <c r="A159" s="3">
        <v>154</v>
      </c>
      <c r="B159" s="3" t="str">
        <f>"00020374"</f>
        <v>00020374</v>
      </c>
    </row>
    <row r="160" spans="1:2" x14ac:dyDescent="0.25">
      <c r="A160" s="3">
        <v>155</v>
      </c>
      <c r="B160" s="3" t="str">
        <f>"00020389"</f>
        <v>00020389</v>
      </c>
    </row>
    <row r="161" spans="1:2" x14ac:dyDescent="0.25">
      <c r="A161" s="3">
        <v>156</v>
      </c>
      <c r="B161" s="3" t="str">
        <f>"00020436"</f>
        <v>00020436</v>
      </c>
    </row>
    <row r="162" spans="1:2" x14ac:dyDescent="0.25">
      <c r="A162" s="3">
        <v>157</v>
      </c>
      <c r="B162" s="3" t="str">
        <f>"00020517"</f>
        <v>00020517</v>
      </c>
    </row>
    <row r="163" spans="1:2" x14ac:dyDescent="0.25">
      <c r="A163" s="3">
        <v>158</v>
      </c>
      <c r="B163" s="3" t="str">
        <f>"00020524"</f>
        <v>00020524</v>
      </c>
    </row>
    <row r="164" spans="1:2" x14ac:dyDescent="0.25">
      <c r="A164" s="3">
        <v>159</v>
      </c>
      <c r="B164" s="3" t="str">
        <f>"00020589"</f>
        <v>00020589</v>
      </c>
    </row>
    <row r="165" spans="1:2" x14ac:dyDescent="0.25">
      <c r="A165" s="3">
        <v>160</v>
      </c>
      <c r="B165" s="3" t="str">
        <f>"00020664"</f>
        <v>00020664</v>
      </c>
    </row>
    <row r="166" spans="1:2" x14ac:dyDescent="0.25">
      <c r="A166" s="3">
        <v>161</v>
      </c>
      <c r="B166" s="3" t="str">
        <f>"00020670"</f>
        <v>00020670</v>
      </c>
    </row>
    <row r="167" spans="1:2" x14ac:dyDescent="0.25">
      <c r="A167" s="3">
        <v>162</v>
      </c>
      <c r="B167" s="3" t="str">
        <f>"00020726"</f>
        <v>00020726</v>
      </c>
    </row>
    <row r="168" spans="1:2" x14ac:dyDescent="0.25">
      <c r="A168" s="3">
        <v>163</v>
      </c>
      <c r="B168" s="3" t="str">
        <f>"00020866"</f>
        <v>00020866</v>
      </c>
    </row>
    <row r="169" spans="1:2" x14ac:dyDescent="0.25">
      <c r="A169" s="3">
        <v>164</v>
      </c>
      <c r="B169" s="3" t="str">
        <f>"00020924"</f>
        <v>00020924</v>
      </c>
    </row>
    <row r="170" spans="1:2" x14ac:dyDescent="0.25">
      <c r="A170" s="3">
        <v>165</v>
      </c>
      <c r="B170" s="3" t="str">
        <f>"00021000"</f>
        <v>00021000</v>
      </c>
    </row>
    <row r="171" spans="1:2" x14ac:dyDescent="0.25">
      <c r="A171" s="3">
        <v>166</v>
      </c>
      <c r="B171" s="3" t="str">
        <f>"00021051"</f>
        <v>00021051</v>
      </c>
    </row>
    <row r="172" spans="1:2" x14ac:dyDescent="0.25">
      <c r="A172" s="3">
        <v>167</v>
      </c>
      <c r="B172" s="3" t="str">
        <f>"00021190"</f>
        <v>00021190</v>
      </c>
    </row>
    <row r="173" spans="1:2" x14ac:dyDescent="0.25">
      <c r="A173" s="3">
        <v>168</v>
      </c>
      <c r="B173" s="3" t="str">
        <f>"00021224"</f>
        <v>00021224</v>
      </c>
    </row>
    <row r="174" spans="1:2" x14ac:dyDescent="0.25">
      <c r="A174" s="3">
        <v>169</v>
      </c>
      <c r="B174" s="3" t="str">
        <f>"00021286"</f>
        <v>00021286</v>
      </c>
    </row>
    <row r="175" spans="1:2" x14ac:dyDescent="0.25">
      <c r="A175" s="3">
        <v>170</v>
      </c>
      <c r="B175" s="3" t="str">
        <f>"00021368"</f>
        <v>00021368</v>
      </c>
    </row>
    <row r="176" spans="1:2" x14ac:dyDescent="0.25">
      <c r="A176" s="3">
        <v>171</v>
      </c>
      <c r="B176" s="3" t="str">
        <f>"00021397"</f>
        <v>00021397</v>
      </c>
    </row>
    <row r="177" spans="1:2" x14ac:dyDescent="0.25">
      <c r="A177" s="3">
        <v>172</v>
      </c>
      <c r="B177" s="3" t="str">
        <f>"00021409"</f>
        <v>00021409</v>
      </c>
    </row>
    <row r="178" spans="1:2" x14ac:dyDescent="0.25">
      <c r="A178" s="3">
        <v>173</v>
      </c>
      <c r="B178" s="3" t="str">
        <f>"00021421"</f>
        <v>00021421</v>
      </c>
    </row>
    <row r="179" spans="1:2" x14ac:dyDescent="0.25">
      <c r="A179" s="3">
        <v>174</v>
      </c>
      <c r="B179" s="3" t="str">
        <f>"00021424"</f>
        <v>00021424</v>
      </c>
    </row>
    <row r="180" spans="1:2" x14ac:dyDescent="0.25">
      <c r="A180" s="3">
        <v>175</v>
      </c>
      <c r="B180" s="3" t="str">
        <f>"00021473"</f>
        <v>00021473</v>
      </c>
    </row>
    <row r="181" spans="1:2" x14ac:dyDescent="0.25">
      <c r="A181" s="3">
        <v>176</v>
      </c>
      <c r="B181" s="3" t="str">
        <f>"00021512"</f>
        <v>00021512</v>
      </c>
    </row>
    <row r="182" spans="1:2" x14ac:dyDescent="0.25">
      <c r="A182" s="3">
        <v>177</v>
      </c>
      <c r="B182" s="3" t="str">
        <f>"00021664"</f>
        <v>00021664</v>
      </c>
    </row>
    <row r="183" spans="1:2" x14ac:dyDescent="0.25">
      <c r="A183" s="3">
        <v>178</v>
      </c>
      <c r="B183" s="3" t="str">
        <f>"00021708"</f>
        <v>00021708</v>
      </c>
    </row>
    <row r="184" spans="1:2" x14ac:dyDescent="0.25">
      <c r="A184" s="3">
        <v>179</v>
      </c>
      <c r="B184" s="3" t="str">
        <f>"00021718"</f>
        <v>00021718</v>
      </c>
    </row>
    <row r="185" spans="1:2" x14ac:dyDescent="0.25">
      <c r="A185" s="3">
        <v>180</v>
      </c>
      <c r="B185" s="3" t="str">
        <f>"00021739"</f>
        <v>00021739</v>
      </c>
    </row>
    <row r="186" spans="1:2" x14ac:dyDescent="0.25">
      <c r="A186" s="3">
        <v>181</v>
      </c>
      <c r="B186" s="3" t="str">
        <f>"00021834"</f>
        <v>00021834</v>
      </c>
    </row>
    <row r="187" spans="1:2" x14ac:dyDescent="0.25">
      <c r="A187" s="3">
        <v>182</v>
      </c>
      <c r="B187" s="3" t="str">
        <f>"00021841"</f>
        <v>00021841</v>
      </c>
    </row>
    <row r="188" spans="1:2" x14ac:dyDescent="0.25">
      <c r="A188" s="3">
        <v>183</v>
      </c>
      <c r="B188" s="3" t="str">
        <f>"00021853"</f>
        <v>00021853</v>
      </c>
    </row>
    <row r="189" spans="1:2" x14ac:dyDescent="0.25">
      <c r="A189" s="3">
        <v>184</v>
      </c>
      <c r="B189" s="3" t="str">
        <f>"00021867"</f>
        <v>00021867</v>
      </c>
    </row>
    <row r="190" spans="1:2" x14ac:dyDescent="0.25">
      <c r="A190" s="3">
        <v>185</v>
      </c>
      <c r="B190" s="3" t="str">
        <f>"00021886"</f>
        <v>00021886</v>
      </c>
    </row>
    <row r="191" spans="1:2" x14ac:dyDescent="0.25">
      <c r="A191" s="3">
        <v>186</v>
      </c>
      <c r="B191" s="3" t="str">
        <f>"00021896"</f>
        <v>00021896</v>
      </c>
    </row>
    <row r="192" spans="1:2" x14ac:dyDescent="0.25">
      <c r="A192" s="3">
        <v>187</v>
      </c>
      <c r="B192" s="3" t="str">
        <f>"00021928"</f>
        <v>00021928</v>
      </c>
    </row>
    <row r="193" spans="1:2" x14ac:dyDescent="0.25">
      <c r="A193" s="3">
        <v>188</v>
      </c>
      <c r="B193" s="3" t="str">
        <f>"00022010"</f>
        <v>00022010</v>
      </c>
    </row>
    <row r="194" spans="1:2" x14ac:dyDescent="0.25">
      <c r="A194" s="3">
        <v>189</v>
      </c>
      <c r="B194" s="3" t="str">
        <f>"00022057"</f>
        <v>00022057</v>
      </c>
    </row>
    <row r="195" spans="1:2" x14ac:dyDescent="0.25">
      <c r="A195" s="3">
        <v>190</v>
      </c>
      <c r="B195" s="3" t="str">
        <f>"00022173"</f>
        <v>00022173</v>
      </c>
    </row>
    <row r="196" spans="1:2" x14ac:dyDescent="0.25">
      <c r="A196" s="3">
        <v>191</v>
      </c>
      <c r="B196" s="3" t="str">
        <f>"00022194"</f>
        <v>00022194</v>
      </c>
    </row>
    <row r="197" spans="1:2" x14ac:dyDescent="0.25">
      <c r="A197" s="3">
        <v>192</v>
      </c>
      <c r="B197" s="3" t="str">
        <f>"00022221"</f>
        <v>00022221</v>
      </c>
    </row>
    <row r="198" spans="1:2" x14ac:dyDescent="0.25">
      <c r="A198" s="3">
        <v>193</v>
      </c>
      <c r="B198" s="3" t="str">
        <f>"00022279"</f>
        <v>00022279</v>
      </c>
    </row>
    <row r="199" spans="1:2" x14ac:dyDescent="0.25">
      <c r="A199" s="3">
        <v>194</v>
      </c>
      <c r="B199" s="3" t="str">
        <f>"00022301"</f>
        <v>00022301</v>
      </c>
    </row>
    <row r="200" spans="1:2" x14ac:dyDescent="0.25">
      <c r="A200" s="3">
        <v>195</v>
      </c>
      <c r="B200" s="3" t="str">
        <f>"00022340"</f>
        <v>00022340</v>
      </c>
    </row>
    <row r="201" spans="1:2" x14ac:dyDescent="0.25">
      <c r="A201" s="3">
        <v>196</v>
      </c>
      <c r="B201" s="3" t="str">
        <f>"00022360"</f>
        <v>00022360</v>
      </c>
    </row>
    <row r="202" spans="1:2" x14ac:dyDescent="0.25">
      <c r="A202" s="3">
        <v>197</v>
      </c>
      <c r="B202" s="3" t="str">
        <f>"00022382"</f>
        <v>00022382</v>
      </c>
    </row>
    <row r="203" spans="1:2" x14ac:dyDescent="0.25">
      <c r="A203" s="3">
        <v>198</v>
      </c>
      <c r="B203" s="3" t="str">
        <f>"00022424"</f>
        <v>00022424</v>
      </c>
    </row>
    <row r="204" spans="1:2" x14ac:dyDescent="0.25">
      <c r="A204" s="3">
        <v>199</v>
      </c>
      <c r="B204" s="3" t="str">
        <f>"00022670"</f>
        <v>00022670</v>
      </c>
    </row>
    <row r="205" spans="1:2" x14ac:dyDescent="0.25">
      <c r="A205" s="3">
        <v>200</v>
      </c>
      <c r="B205" s="3" t="str">
        <f>"00022689"</f>
        <v>00022689</v>
      </c>
    </row>
    <row r="206" spans="1:2" x14ac:dyDescent="0.25">
      <c r="A206" s="3">
        <v>201</v>
      </c>
      <c r="B206" s="3" t="str">
        <f>"00022818"</f>
        <v>00022818</v>
      </c>
    </row>
    <row r="207" spans="1:2" x14ac:dyDescent="0.25">
      <c r="A207" s="3">
        <v>202</v>
      </c>
      <c r="B207" s="3" t="str">
        <f>"00022847"</f>
        <v>00022847</v>
      </c>
    </row>
    <row r="208" spans="1:2" x14ac:dyDescent="0.25">
      <c r="A208" s="3">
        <v>203</v>
      </c>
      <c r="B208" s="3" t="str">
        <f>"00022849"</f>
        <v>00022849</v>
      </c>
    </row>
    <row r="209" spans="1:2" x14ac:dyDescent="0.25">
      <c r="A209" s="3">
        <v>204</v>
      </c>
      <c r="B209" s="3" t="str">
        <f>"00022852"</f>
        <v>00022852</v>
      </c>
    </row>
    <row r="210" spans="1:2" x14ac:dyDescent="0.25">
      <c r="A210" s="3">
        <v>205</v>
      </c>
      <c r="B210" s="3" t="str">
        <f>"00022869"</f>
        <v>00022869</v>
      </c>
    </row>
    <row r="211" spans="1:2" x14ac:dyDescent="0.25">
      <c r="A211" s="3">
        <v>206</v>
      </c>
      <c r="B211" s="3" t="str">
        <f>"00022898"</f>
        <v>00022898</v>
      </c>
    </row>
    <row r="212" spans="1:2" x14ac:dyDescent="0.25">
      <c r="A212" s="3">
        <v>207</v>
      </c>
      <c r="B212" s="3" t="str">
        <f>"00023158"</f>
        <v>00023158</v>
      </c>
    </row>
    <row r="213" spans="1:2" x14ac:dyDescent="0.25">
      <c r="A213" s="3">
        <v>208</v>
      </c>
      <c r="B213" s="3" t="str">
        <f>"00023174"</f>
        <v>00023174</v>
      </c>
    </row>
    <row r="214" spans="1:2" x14ac:dyDescent="0.25">
      <c r="A214" s="3">
        <v>209</v>
      </c>
      <c r="B214" s="3" t="str">
        <f>"00023227"</f>
        <v>00023227</v>
      </c>
    </row>
    <row r="215" spans="1:2" x14ac:dyDescent="0.25">
      <c r="A215" s="3">
        <v>210</v>
      </c>
      <c r="B215" s="3" t="str">
        <f>"00023365"</f>
        <v>00023365</v>
      </c>
    </row>
    <row r="216" spans="1:2" x14ac:dyDescent="0.25">
      <c r="A216" s="3">
        <v>211</v>
      </c>
      <c r="B216" s="3" t="str">
        <f>"00023436"</f>
        <v>00023436</v>
      </c>
    </row>
    <row r="217" spans="1:2" x14ac:dyDescent="0.25">
      <c r="A217" s="3">
        <v>212</v>
      </c>
      <c r="B217" s="3" t="str">
        <f>"00023509"</f>
        <v>00023509</v>
      </c>
    </row>
    <row r="218" spans="1:2" x14ac:dyDescent="0.25">
      <c r="A218" s="3">
        <v>213</v>
      </c>
      <c r="B218" s="3" t="str">
        <f>"00023618"</f>
        <v>00023618</v>
      </c>
    </row>
    <row r="219" spans="1:2" x14ac:dyDescent="0.25">
      <c r="A219" s="3">
        <v>214</v>
      </c>
      <c r="B219" s="3" t="str">
        <f>"00023645"</f>
        <v>00023645</v>
      </c>
    </row>
    <row r="220" spans="1:2" x14ac:dyDescent="0.25">
      <c r="A220" s="3">
        <v>215</v>
      </c>
      <c r="B220" s="3" t="str">
        <f>"00023712"</f>
        <v>00023712</v>
      </c>
    </row>
    <row r="221" spans="1:2" x14ac:dyDescent="0.25">
      <c r="A221" s="3">
        <v>216</v>
      </c>
      <c r="B221" s="3" t="str">
        <f>"00023721"</f>
        <v>00023721</v>
      </c>
    </row>
    <row r="222" spans="1:2" x14ac:dyDescent="0.25">
      <c r="A222" s="3">
        <v>217</v>
      </c>
      <c r="B222" s="3" t="str">
        <f>"00023814"</f>
        <v>00023814</v>
      </c>
    </row>
    <row r="223" spans="1:2" x14ac:dyDescent="0.25">
      <c r="A223" s="3">
        <v>218</v>
      </c>
      <c r="B223" s="3" t="str">
        <f>"00023912"</f>
        <v>00023912</v>
      </c>
    </row>
    <row r="224" spans="1:2" x14ac:dyDescent="0.25">
      <c r="A224" s="3">
        <v>219</v>
      </c>
      <c r="B224" s="3" t="str">
        <f>"00023953"</f>
        <v>00023953</v>
      </c>
    </row>
    <row r="225" spans="1:2" x14ac:dyDescent="0.25">
      <c r="A225" s="3">
        <v>220</v>
      </c>
      <c r="B225" s="3" t="str">
        <f>"00024001"</f>
        <v>00024001</v>
      </c>
    </row>
    <row r="226" spans="1:2" x14ac:dyDescent="0.25">
      <c r="A226" s="3">
        <v>221</v>
      </c>
      <c r="B226" s="3" t="str">
        <f>"00024003"</f>
        <v>00024003</v>
      </c>
    </row>
    <row r="227" spans="1:2" x14ac:dyDescent="0.25">
      <c r="A227" s="3">
        <v>222</v>
      </c>
      <c r="B227" s="3" t="str">
        <f>"00024177"</f>
        <v>00024177</v>
      </c>
    </row>
    <row r="228" spans="1:2" x14ac:dyDescent="0.25">
      <c r="A228" s="3">
        <v>223</v>
      </c>
      <c r="B228" s="3" t="str">
        <f>"00024217"</f>
        <v>00024217</v>
      </c>
    </row>
    <row r="229" spans="1:2" x14ac:dyDescent="0.25">
      <c r="A229" s="3">
        <v>224</v>
      </c>
      <c r="B229" s="3" t="str">
        <f>"00024391"</f>
        <v>00024391</v>
      </c>
    </row>
    <row r="230" spans="1:2" x14ac:dyDescent="0.25">
      <c r="A230" s="3">
        <v>225</v>
      </c>
      <c r="B230" s="3" t="str">
        <f>"00024446"</f>
        <v>00024446</v>
      </c>
    </row>
    <row r="231" spans="1:2" x14ac:dyDescent="0.25">
      <c r="A231" s="3">
        <v>226</v>
      </c>
      <c r="B231" s="3" t="str">
        <f>"00024543"</f>
        <v>00024543</v>
      </c>
    </row>
    <row r="232" spans="1:2" x14ac:dyDescent="0.25">
      <c r="A232" s="3">
        <v>227</v>
      </c>
      <c r="B232" s="3" t="str">
        <f>"00024709"</f>
        <v>00024709</v>
      </c>
    </row>
    <row r="233" spans="1:2" x14ac:dyDescent="0.25">
      <c r="A233" s="3">
        <v>228</v>
      </c>
      <c r="B233" s="3" t="str">
        <f>"00024724"</f>
        <v>00024724</v>
      </c>
    </row>
    <row r="234" spans="1:2" x14ac:dyDescent="0.25">
      <c r="A234" s="3">
        <v>229</v>
      </c>
      <c r="B234" s="3" t="str">
        <f>"00024784"</f>
        <v>00024784</v>
      </c>
    </row>
    <row r="235" spans="1:2" x14ac:dyDescent="0.25">
      <c r="A235" s="3">
        <v>230</v>
      </c>
      <c r="B235" s="3" t="str">
        <f>"00024814"</f>
        <v>00024814</v>
      </c>
    </row>
    <row r="236" spans="1:2" x14ac:dyDescent="0.25">
      <c r="A236" s="3">
        <v>231</v>
      </c>
      <c r="B236" s="3" t="str">
        <f>"00024866"</f>
        <v>00024866</v>
      </c>
    </row>
    <row r="237" spans="1:2" x14ac:dyDescent="0.25">
      <c r="A237" s="3">
        <v>232</v>
      </c>
      <c r="B237" s="3" t="str">
        <f>"00024911"</f>
        <v>00024911</v>
      </c>
    </row>
    <row r="238" spans="1:2" x14ac:dyDescent="0.25">
      <c r="A238" s="3">
        <v>233</v>
      </c>
      <c r="B238" s="3" t="str">
        <f>"00024937"</f>
        <v>00024937</v>
      </c>
    </row>
    <row r="239" spans="1:2" x14ac:dyDescent="0.25">
      <c r="A239" s="3">
        <v>234</v>
      </c>
      <c r="B239" s="3" t="str">
        <f>"00024942"</f>
        <v>00024942</v>
      </c>
    </row>
    <row r="240" spans="1:2" x14ac:dyDescent="0.25">
      <c r="A240" s="3">
        <v>235</v>
      </c>
      <c r="B240" s="3" t="str">
        <f>"00025042"</f>
        <v>00025042</v>
      </c>
    </row>
    <row r="241" spans="1:2" x14ac:dyDescent="0.25">
      <c r="A241" s="3">
        <v>236</v>
      </c>
      <c r="B241" s="3" t="str">
        <f>"00025092"</f>
        <v>00025092</v>
      </c>
    </row>
    <row r="242" spans="1:2" x14ac:dyDescent="0.25">
      <c r="A242" s="3">
        <v>237</v>
      </c>
      <c r="B242" s="3" t="str">
        <f>"00025115"</f>
        <v>00025115</v>
      </c>
    </row>
    <row r="243" spans="1:2" x14ac:dyDescent="0.25">
      <c r="A243" s="3">
        <v>238</v>
      </c>
      <c r="B243" s="3" t="str">
        <f>"00025147"</f>
        <v>00025147</v>
      </c>
    </row>
    <row r="244" spans="1:2" x14ac:dyDescent="0.25">
      <c r="A244" s="3">
        <v>239</v>
      </c>
      <c r="B244" s="3" t="str">
        <f>"00025159"</f>
        <v>00025159</v>
      </c>
    </row>
    <row r="245" spans="1:2" x14ac:dyDescent="0.25">
      <c r="A245" s="3">
        <v>240</v>
      </c>
      <c r="B245" s="3" t="str">
        <f>"00025185"</f>
        <v>00025185</v>
      </c>
    </row>
    <row r="246" spans="1:2" x14ac:dyDescent="0.25">
      <c r="A246" s="3">
        <v>241</v>
      </c>
      <c r="B246" s="3" t="str">
        <f>"00025189"</f>
        <v>00025189</v>
      </c>
    </row>
    <row r="247" spans="1:2" x14ac:dyDescent="0.25">
      <c r="A247" s="3">
        <v>242</v>
      </c>
      <c r="B247" s="3" t="str">
        <f>"00025225"</f>
        <v>00025225</v>
      </c>
    </row>
    <row r="248" spans="1:2" x14ac:dyDescent="0.25">
      <c r="A248" s="3">
        <v>243</v>
      </c>
      <c r="B248" s="3" t="str">
        <f>"00025237"</f>
        <v>00025237</v>
      </c>
    </row>
    <row r="249" spans="1:2" x14ac:dyDescent="0.25">
      <c r="A249" s="3">
        <v>244</v>
      </c>
      <c r="B249" s="3" t="str">
        <f>"00025296"</f>
        <v>00025296</v>
      </c>
    </row>
    <row r="250" spans="1:2" x14ac:dyDescent="0.25">
      <c r="A250" s="3">
        <v>245</v>
      </c>
      <c r="B250" s="3" t="str">
        <f>"00025310"</f>
        <v>00025310</v>
      </c>
    </row>
    <row r="251" spans="1:2" x14ac:dyDescent="0.25">
      <c r="A251" s="3">
        <v>246</v>
      </c>
      <c r="B251" s="3" t="str">
        <f>"00025595"</f>
        <v>00025595</v>
      </c>
    </row>
    <row r="252" spans="1:2" x14ac:dyDescent="0.25">
      <c r="A252" s="3">
        <v>247</v>
      </c>
      <c r="B252" s="3" t="str">
        <f>"00025640"</f>
        <v>00025640</v>
      </c>
    </row>
    <row r="253" spans="1:2" x14ac:dyDescent="0.25">
      <c r="A253" s="3">
        <v>248</v>
      </c>
      <c r="B253" s="3" t="str">
        <f>"00025689"</f>
        <v>00025689</v>
      </c>
    </row>
    <row r="254" spans="1:2" x14ac:dyDescent="0.25">
      <c r="A254" s="3">
        <v>249</v>
      </c>
      <c r="B254" s="3" t="str">
        <f>"00025812"</f>
        <v>00025812</v>
      </c>
    </row>
    <row r="255" spans="1:2" x14ac:dyDescent="0.25">
      <c r="A255" s="3">
        <v>250</v>
      </c>
      <c r="B255" s="3" t="str">
        <f>"00025819"</f>
        <v>00025819</v>
      </c>
    </row>
    <row r="256" spans="1:2" x14ac:dyDescent="0.25">
      <c r="A256" s="3">
        <v>251</v>
      </c>
      <c r="B256" s="3" t="str">
        <f>"00025850"</f>
        <v>00025850</v>
      </c>
    </row>
    <row r="257" spans="1:2" x14ac:dyDescent="0.25">
      <c r="A257" s="3">
        <v>252</v>
      </c>
      <c r="B257" s="3" t="str">
        <f>"00025905"</f>
        <v>00025905</v>
      </c>
    </row>
    <row r="258" spans="1:2" x14ac:dyDescent="0.25">
      <c r="A258" s="3">
        <v>253</v>
      </c>
      <c r="B258" s="3" t="str">
        <f>"00026036"</f>
        <v>00026036</v>
      </c>
    </row>
    <row r="259" spans="1:2" x14ac:dyDescent="0.25">
      <c r="A259" s="3">
        <v>254</v>
      </c>
      <c r="B259" s="3" t="str">
        <f>"00026038"</f>
        <v>00026038</v>
      </c>
    </row>
    <row r="260" spans="1:2" x14ac:dyDescent="0.25">
      <c r="A260" s="3">
        <v>255</v>
      </c>
      <c r="B260" s="3" t="str">
        <f>"00026249"</f>
        <v>00026249</v>
      </c>
    </row>
    <row r="261" spans="1:2" x14ac:dyDescent="0.25">
      <c r="A261" s="3">
        <v>256</v>
      </c>
      <c r="B261" s="3" t="str">
        <f>"00026302"</f>
        <v>00026302</v>
      </c>
    </row>
    <row r="262" spans="1:2" x14ac:dyDescent="0.25">
      <c r="A262" s="3">
        <v>257</v>
      </c>
      <c r="B262" s="3" t="str">
        <f>"00026312"</f>
        <v>00026312</v>
      </c>
    </row>
    <row r="263" spans="1:2" x14ac:dyDescent="0.25">
      <c r="A263" s="3">
        <v>258</v>
      </c>
      <c r="B263" s="3" t="str">
        <f>"00026330"</f>
        <v>00026330</v>
      </c>
    </row>
    <row r="264" spans="1:2" x14ac:dyDescent="0.25">
      <c r="A264" s="3">
        <v>259</v>
      </c>
      <c r="B264" s="3" t="str">
        <f>"00026542"</f>
        <v>00026542</v>
      </c>
    </row>
    <row r="265" spans="1:2" x14ac:dyDescent="0.25">
      <c r="A265" s="3">
        <v>260</v>
      </c>
      <c r="B265" s="3" t="str">
        <f>"00026563"</f>
        <v>00026563</v>
      </c>
    </row>
    <row r="266" spans="1:2" x14ac:dyDescent="0.25">
      <c r="A266" s="3">
        <v>261</v>
      </c>
      <c r="B266" s="3" t="str">
        <f>"00026634"</f>
        <v>00026634</v>
      </c>
    </row>
    <row r="267" spans="1:2" x14ac:dyDescent="0.25">
      <c r="A267" s="3">
        <v>262</v>
      </c>
      <c r="B267" s="3" t="str">
        <f>"00026926"</f>
        <v>00026926</v>
      </c>
    </row>
    <row r="268" spans="1:2" x14ac:dyDescent="0.25">
      <c r="A268" s="3">
        <v>263</v>
      </c>
      <c r="B268" s="3" t="str">
        <f>"00026993"</f>
        <v>00026993</v>
      </c>
    </row>
    <row r="269" spans="1:2" x14ac:dyDescent="0.25">
      <c r="A269" s="3">
        <v>264</v>
      </c>
      <c r="B269" s="3" t="str">
        <f>"00027361"</f>
        <v>00027361</v>
      </c>
    </row>
    <row r="270" spans="1:2" x14ac:dyDescent="0.25">
      <c r="A270" s="3">
        <v>265</v>
      </c>
      <c r="B270" s="3" t="str">
        <f>"00027405"</f>
        <v>00027405</v>
      </c>
    </row>
    <row r="271" spans="1:2" x14ac:dyDescent="0.25">
      <c r="A271" s="3">
        <v>266</v>
      </c>
      <c r="B271" s="3" t="str">
        <f>"00027409"</f>
        <v>00027409</v>
      </c>
    </row>
    <row r="272" spans="1:2" x14ac:dyDescent="0.25">
      <c r="A272" s="3">
        <v>267</v>
      </c>
      <c r="B272" s="3" t="str">
        <f>"00027450"</f>
        <v>00027450</v>
      </c>
    </row>
    <row r="273" spans="1:2" x14ac:dyDescent="0.25">
      <c r="A273" s="3">
        <v>268</v>
      </c>
      <c r="B273" s="3" t="str">
        <f>"00027560"</f>
        <v>00027560</v>
      </c>
    </row>
    <row r="274" spans="1:2" x14ac:dyDescent="0.25">
      <c r="A274" s="3">
        <v>269</v>
      </c>
      <c r="B274" s="3" t="str">
        <f>"00027603"</f>
        <v>00027603</v>
      </c>
    </row>
    <row r="275" spans="1:2" x14ac:dyDescent="0.25">
      <c r="A275" s="3">
        <v>270</v>
      </c>
      <c r="B275" s="3" t="str">
        <f>"00027608"</f>
        <v>00027608</v>
      </c>
    </row>
    <row r="276" spans="1:2" x14ac:dyDescent="0.25">
      <c r="A276" s="3">
        <v>271</v>
      </c>
      <c r="B276" s="3" t="str">
        <f>"00027618"</f>
        <v>00027618</v>
      </c>
    </row>
    <row r="277" spans="1:2" x14ac:dyDescent="0.25">
      <c r="A277" s="3">
        <v>272</v>
      </c>
      <c r="B277" s="3" t="str">
        <f>"00027625"</f>
        <v>00027625</v>
      </c>
    </row>
    <row r="278" spans="1:2" x14ac:dyDescent="0.25">
      <c r="A278" s="3">
        <v>273</v>
      </c>
      <c r="B278" s="3" t="str">
        <f>"00027631"</f>
        <v>00027631</v>
      </c>
    </row>
    <row r="279" spans="1:2" x14ac:dyDescent="0.25">
      <c r="A279" s="3">
        <v>274</v>
      </c>
      <c r="B279" s="3" t="str">
        <f>"00027818"</f>
        <v>00027818</v>
      </c>
    </row>
    <row r="280" spans="1:2" x14ac:dyDescent="0.25">
      <c r="A280" s="3">
        <v>275</v>
      </c>
      <c r="B280" s="3" t="str">
        <f>"00027836"</f>
        <v>00027836</v>
      </c>
    </row>
    <row r="281" spans="1:2" x14ac:dyDescent="0.25">
      <c r="A281" s="3">
        <v>276</v>
      </c>
      <c r="B281" s="3" t="str">
        <f>"00027876"</f>
        <v>00027876</v>
      </c>
    </row>
    <row r="282" spans="1:2" x14ac:dyDescent="0.25">
      <c r="A282" s="3">
        <v>277</v>
      </c>
      <c r="B282" s="3" t="str">
        <f>"00027971"</f>
        <v>00027971</v>
      </c>
    </row>
    <row r="283" spans="1:2" x14ac:dyDescent="0.25">
      <c r="A283" s="3">
        <v>278</v>
      </c>
      <c r="B283" s="3" t="str">
        <f>"00028064"</f>
        <v>00028064</v>
      </c>
    </row>
    <row r="284" spans="1:2" x14ac:dyDescent="0.25">
      <c r="A284" s="3">
        <v>279</v>
      </c>
      <c r="B284" s="3" t="str">
        <f>"00028071"</f>
        <v>00028071</v>
      </c>
    </row>
    <row r="285" spans="1:2" x14ac:dyDescent="0.25">
      <c r="A285" s="3">
        <v>280</v>
      </c>
      <c r="B285" s="3" t="str">
        <f>"00028121"</f>
        <v>00028121</v>
      </c>
    </row>
    <row r="286" spans="1:2" x14ac:dyDescent="0.25">
      <c r="A286" s="3">
        <v>281</v>
      </c>
      <c r="B286" s="3" t="str">
        <f>"00028157"</f>
        <v>00028157</v>
      </c>
    </row>
    <row r="287" spans="1:2" x14ac:dyDescent="0.25">
      <c r="A287" s="3">
        <v>282</v>
      </c>
      <c r="B287" s="3" t="str">
        <f>"00028233"</f>
        <v>00028233</v>
      </c>
    </row>
    <row r="288" spans="1:2" x14ac:dyDescent="0.25">
      <c r="A288" s="3">
        <v>283</v>
      </c>
      <c r="B288" s="3" t="str">
        <f>"00028395"</f>
        <v>00028395</v>
      </c>
    </row>
    <row r="289" spans="1:2" x14ac:dyDescent="0.25">
      <c r="A289" s="3">
        <v>284</v>
      </c>
      <c r="B289" s="3" t="str">
        <f>"00028535"</f>
        <v>00028535</v>
      </c>
    </row>
    <row r="290" spans="1:2" x14ac:dyDescent="0.25">
      <c r="A290" s="3">
        <v>285</v>
      </c>
      <c r="B290" s="3" t="str">
        <f>"00028598"</f>
        <v>00028598</v>
      </c>
    </row>
    <row r="291" spans="1:2" x14ac:dyDescent="0.25">
      <c r="A291" s="3">
        <v>286</v>
      </c>
      <c r="B291" s="3" t="str">
        <f>"00028607"</f>
        <v>00028607</v>
      </c>
    </row>
    <row r="292" spans="1:2" x14ac:dyDescent="0.25">
      <c r="A292" s="3">
        <v>287</v>
      </c>
      <c r="B292" s="3" t="str">
        <f>"00028613"</f>
        <v>00028613</v>
      </c>
    </row>
    <row r="293" spans="1:2" x14ac:dyDescent="0.25">
      <c r="A293" s="3">
        <v>288</v>
      </c>
      <c r="B293" s="3" t="str">
        <f>"00028659"</f>
        <v>00028659</v>
      </c>
    </row>
    <row r="294" spans="1:2" x14ac:dyDescent="0.25">
      <c r="A294" s="3">
        <v>289</v>
      </c>
      <c r="B294" s="3" t="str">
        <f>"00028661"</f>
        <v>00028661</v>
      </c>
    </row>
    <row r="295" spans="1:2" x14ac:dyDescent="0.25">
      <c r="A295" s="3">
        <v>290</v>
      </c>
      <c r="B295" s="3" t="str">
        <f>"00028688"</f>
        <v>00028688</v>
      </c>
    </row>
    <row r="296" spans="1:2" x14ac:dyDescent="0.25">
      <c r="A296" s="3">
        <v>291</v>
      </c>
      <c r="B296" s="3" t="str">
        <f>"00028794"</f>
        <v>00028794</v>
      </c>
    </row>
    <row r="297" spans="1:2" x14ac:dyDescent="0.25">
      <c r="A297" s="3">
        <v>292</v>
      </c>
      <c r="B297" s="3" t="str">
        <f>"00028801"</f>
        <v>00028801</v>
      </c>
    </row>
    <row r="298" spans="1:2" x14ac:dyDescent="0.25">
      <c r="A298" s="3">
        <v>293</v>
      </c>
      <c r="B298" s="3" t="str">
        <f>"00028805"</f>
        <v>00028805</v>
      </c>
    </row>
    <row r="299" spans="1:2" x14ac:dyDescent="0.25">
      <c r="A299" s="3">
        <v>294</v>
      </c>
      <c r="B299" s="3" t="str">
        <f>"00028852"</f>
        <v>00028852</v>
      </c>
    </row>
    <row r="300" spans="1:2" x14ac:dyDescent="0.25">
      <c r="A300" s="3">
        <v>295</v>
      </c>
      <c r="B300" s="3" t="str">
        <f>"00028933"</f>
        <v>00028933</v>
      </c>
    </row>
    <row r="301" spans="1:2" x14ac:dyDescent="0.25">
      <c r="A301" s="3">
        <v>296</v>
      </c>
      <c r="B301" s="3" t="str">
        <f>"00028952"</f>
        <v>00028952</v>
      </c>
    </row>
    <row r="302" spans="1:2" x14ac:dyDescent="0.25">
      <c r="A302" s="3">
        <v>297</v>
      </c>
      <c r="B302" s="3" t="str">
        <f>"00029072"</f>
        <v>00029072</v>
      </c>
    </row>
    <row r="303" spans="1:2" x14ac:dyDescent="0.25">
      <c r="A303" s="3">
        <v>298</v>
      </c>
      <c r="B303" s="3" t="str">
        <f>"00029136"</f>
        <v>00029136</v>
      </c>
    </row>
    <row r="304" spans="1:2" x14ac:dyDescent="0.25">
      <c r="A304" s="3">
        <v>299</v>
      </c>
      <c r="B304" s="3" t="str">
        <f>"00029320"</f>
        <v>00029320</v>
      </c>
    </row>
    <row r="305" spans="1:2" x14ac:dyDescent="0.25">
      <c r="A305" s="3">
        <v>300</v>
      </c>
      <c r="B305" s="3" t="str">
        <f>"00029410"</f>
        <v>00029410</v>
      </c>
    </row>
    <row r="306" spans="1:2" x14ac:dyDescent="0.25">
      <c r="A306" s="3">
        <v>301</v>
      </c>
      <c r="B306" s="3" t="str">
        <f>"00029433"</f>
        <v>00029433</v>
      </c>
    </row>
    <row r="307" spans="1:2" x14ac:dyDescent="0.25">
      <c r="A307" s="3">
        <v>302</v>
      </c>
      <c r="B307" s="3" t="str">
        <f>"00029460"</f>
        <v>00029460</v>
      </c>
    </row>
    <row r="308" spans="1:2" x14ac:dyDescent="0.25">
      <c r="A308" s="3">
        <v>303</v>
      </c>
      <c r="B308" s="3" t="str">
        <f>"00029486"</f>
        <v>00029486</v>
      </c>
    </row>
    <row r="309" spans="1:2" x14ac:dyDescent="0.25">
      <c r="A309" s="3">
        <v>304</v>
      </c>
      <c r="B309" s="3" t="str">
        <f>"00029679"</f>
        <v>00029679</v>
      </c>
    </row>
    <row r="310" spans="1:2" x14ac:dyDescent="0.25">
      <c r="A310" s="3">
        <v>305</v>
      </c>
      <c r="B310" s="3" t="str">
        <f>"00029713"</f>
        <v>00029713</v>
      </c>
    </row>
    <row r="311" spans="1:2" x14ac:dyDescent="0.25">
      <c r="A311" s="3">
        <v>306</v>
      </c>
      <c r="B311" s="3" t="str">
        <f>"00029716"</f>
        <v>00029716</v>
      </c>
    </row>
    <row r="312" spans="1:2" x14ac:dyDescent="0.25">
      <c r="A312" s="3">
        <v>307</v>
      </c>
      <c r="B312" s="3" t="str">
        <f>"00029791"</f>
        <v>00029791</v>
      </c>
    </row>
    <row r="313" spans="1:2" x14ac:dyDescent="0.25">
      <c r="A313" s="3">
        <v>308</v>
      </c>
      <c r="B313" s="3" t="str">
        <f>"00029824"</f>
        <v>00029824</v>
      </c>
    </row>
    <row r="314" spans="1:2" x14ac:dyDescent="0.25">
      <c r="A314" s="3">
        <v>309</v>
      </c>
      <c r="B314" s="3" t="str">
        <f>"00029879"</f>
        <v>00029879</v>
      </c>
    </row>
    <row r="315" spans="1:2" x14ac:dyDescent="0.25">
      <c r="A315" s="3">
        <v>310</v>
      </c>
      <c r="B315" s="3" t="str">
        <f>"00030149"</f>
        <v>00030149</v>
      </c>
    </row>
    <row r="316" spans="1:2" x14ac:dyDescent="0.25">
      <c r="A316" s="3">
        <v>311</v>
      </c>
      <c r="B316" s="3" t="str">
        <f>"00030153"</f>
        <v>00030153</v>
      </c>
    </row>
    <row r="317" spans="1:2" x14ac:dyDescent="0.25">
      <c r="A317" s="3">
        <v>312</v>
      </c>
      <c r="B317" s="3" t="str">
        <f>"00030155"</f>
        <v>00030155</v>
      </c>
    </row>
    <row r="318" spans="1:2" x14ac:dyDescent="0.25">
      <c r="A318" s="3">
        <v>313</v>
      </c>
      <c r="B318" s="3" t="str">
        <f>"00030163"</f>
        <v>00030163</v>
      </c>
    </row>
    <row r="319" spans="1:2" x14ac:dyDescent="0.25">
      <c r="A319" s="3">
        <v>314</v>
      </c>
      <c r="B319" s="3" t="str">
        <f>"00030240"</f>
        <v>00030240</v>
      </c>
    </row>
    <row r="320" spans="1:2" x14ac:dyDescent="0.25">
      <c r="A320" s="3">
        <v>315</v>
      </c>
      <c r="B320" s="3" t="str">
        <f>"00030249"</f>
        <v>00030249</v>
      </c>
    </row>
    <row r="321" spans="1:2" x14ac:dyDescent="0.25">
      <c r="A321" s="3">
        <v>316</v>
      </c>
      <c r="B321" s="3" t="str">
        <f>"00030345"</f>
        <v>00030345</v>
      </c>
    </row>
    <row r="322" spans="1:2" x14ac:dyDescent="0.25">
      <c r="A322" s="3">
        <v>317</v>
      </c>
      <c r="B322" s="3" t="str">
        <f>"00030348"</f>
        <v>00030348</v>
      </c>
    </row>
    <row r="323" spans="1:2" x14ac:dyDescent="0.25">
      <c r="A323" s="3">
        <v>318</v>
      </c>
      <c r="B323" s="3" t="str">
        <f>"00030355"</f>
        <v>00030355</v>
      </c>
    </row>
    <row r="324" spans="1:2" x14ac:dyDescent="0.25">
      <c r="A324" s="3">
        <v>319</v>
      </c>
      <c r="B324" s="3" t="str">
        <f>"00030369"</f>
        <v>00030369</v>
      </c>
    </row>
    <row r="325" spans="1:2" x14ac:dyDescent="0.25">
      <c r="A325" s="3">
        <v>320</v>
      </c>
      <c r="B325" s="3" t="str">
        <f>"00030468"</f>
        <v>00030468</v>
      </c>
    </row>
    <row r="326" spans="1:2" x14ac:dyDescent="0.25">
      <c r="A326" s="3">
        <v>321</v>
      </c>
      <c r="B326" s="3" t="str">
        <f>"00030501"</f>
        <v>00030501</v>
      </c>
    </row>
    <row r="327" spans="1:2" x14ac:dyDescent="0.25">
      <c r="A327" s="3">
        <v>322</v>
      </c>
      <c r="B327" s="3" t="str">
        <f>"00030531"</f>
        <v>00030531</v>
      </c>
    </row>
    <row r="328" spans="1:2" x14ac:dyDescent="0.25">
      <c r="A328" s="3">
        <v>323</v>
      </c>
      <c r="B328" s="3" t="str">
        <f>"00030617"</f>
        <v>00030617</v>
      </c>
    </row>
    <row r="329" spans="1:2" x14ac:dyDescent="0.25">
      <c r="A329" s="3">
        <v>324</v>
      </c>
      <c r="B329" s="3" t="str">
        <f>"00030623"</f>
        <v>00030623</v>
      </c>
    </row>
    <row r="330" spans="1:2" x14ac:dyDescent="0.25">
      <c r="A330" s="3">
        <v>325</v>
      </c>
      <c r="B330" s="3" t="str">
        <f>"00030724"</f>
        <v>00030724</v>
      </c>
    </row>
    <row r="331" spans="1:2" x14ac:dyDescent="0.25">
      <c r="A331" s="3">
        <v>326</v>
      </c>
      <c r="B331" s="3" t="str">
        <f>"00030762"</f>
        <v>00030762</v>
      </c>
    </row>
    <row r="332" spans="1:2" x14ac:dyDescent="0.25">
      <c r="A332" s="3">
        <v>327</v>
      </c>
      <c r="B332" s="3" t="str">
        <f>"00031333"</f>
        <v>00031333</v>
      </c>
    </row>
    <row r="333" spans="1:2" x14ac:dyDescent="0.25">
      <c r="A333" s="3">
        <v>328</v>
      </c>
      <c r="B333" s="3" t="str">
        <f>"00031479"</f>
        <v>00031479</v>
      </c>
    </row>
    <row r="334" spans="1:2" x14ac:dyDescent="0.25">
      <c r="A334" s="3">
        <v>329</v>
      </c>
      <c r="B334" s="3" t="str">
        <f>"00031560"</f>
        <v>00031560</v>
      </c>
    </row>
    <row r="335" spans="1:2" x14ac:dyDescent="0.25">
      <c r="A335" s="3">
        <v>330</v>
      </c>
      <c r="B335" s="3" t="str">
        <f>"00031570"</f>
        <v>00031570</v>
      </c>
    </row>
    <row r="336" spans="1:2" x14ac:dyDescent="0.25">
      <c r="A336" s="3">
        <v>331</v>
      </c>
      <c r="B336" s="3" t="str">
        <f>"00031594"</f>
        <v>00031594</v>
      </c>
    </row>
    <row r="337" spans="1:2" x14ac:dyDescent="0.25">
      <c r="A337" s="3">
        <v>332</v>
      </c>
      <c r="B337" s="3" t="str">
        <f>"00031709"</f>
        <v>00031709</v>
      </c>
    </row>
    <row r="338" spans="1:2" x14ac:dyDescent="0.25">
      <c r="A338" s="3">
        <v>333</v>
      </c>
      <c r="B338" s="3" t="str">
        <f>"00031810"</f>
        <v>00031810</v>
      </c>
    </row>
    <row r="339" spans="1:2" x14ac:dyDescent="0.25">
      <c r="A339" s="3">
        <v>334</v>
      </c>
      <c r="B339" s="3" t="str">
        <f>"00032047"</f>
        <v>00032047</v>
      </c>
    </row>
    <row r="340" spans="1:2" x14ac:dyDescent="0.25">
      <c r="A340" s="3">
        <v>335</v>
      </c>
      <c r="B340" s="3" t="str">
        <f>"00032263"</f>
        <v>00032263</v>
      </c>
    </row>
    <row r="341" spans="1:2" x14ac:dyDescent="0.25">
      <c r="A341" s="3">
        <v>336</v>
      </c>
      <c r="B341" s="3" t="str">
        <f>"00032331"</f>
        <v>00032331</v>
      </c>
    </row>
    <row r="342" spans="1:2" x14ac:dyDescent="0.25">
      <c r="A342" s="3">
        <v>337</v>
      </c>
      <c r="B342" s="3" t="str">
        <f>"00032566"</f>
        <v>00032566</v>
      </c>
    </row>
    <row r="343" spans="1:2" x14ac:dyDescent="0.25">
      <c r="A343" s="3">
        <v>338</v>
      </c>
      <c r="B343" s="3" t="str">
        <f>"00032632"</f>
        <v>00032632</v>
      </c>
    </row>
    <row r="344" spans="1:2" x14ac:dyDescent="0.25">
      <c r="A344" s="3">
        <v>339</v>
      </c>
      <c r="B344" s="3" t="str">
        <f>"00032664"</f>
        <v>00032664</v>
      </c>
    </row>
    <row r="345" spans="1:2" x14ac:dyDescent="0.25">
      <c r="A345" s="3">
        <v>340</v>
      </c>
      <c r="B345" s="3" t="str">
        <f>"00033022"</f>
        <v>00033022</v>
      </c>
    </row>
    <row r="346" spans="1:2" x14ac:dyDescent="0.25">
      <c r="A346" s="3">
        <v>341</v>
      </c>
      <c r="B346" s="3" t="str">
        <f>"00033043"</f>
        <v>00033043</v>
      </c>
    </row>
    <row r="347" spans="1:2" x14ac:dyDescent="0.25">
      <c r="A347" s="3">
        <v>342</v>
      </c>
      <c r="B347" s="3" t="str">
        <f>"00033075"</f>
        <v>00033075</v>
      </c>
    </row>
    <row r="348" spans="1:2" x14ac:dyDescent="0.25">
      <c r="A348" s="3">
        <v>343</v>
      </c>
      <c r="B348" s="3" t="str">
        <f>"00033353"</f>
        <v>00033353</v>
      </c>
    </row>
    <row r="349" spans="1:2" x14ac:dyDescent="0.25">
      <c r="A349" s="3">
        <v>344</v>
      </c>
      <c r="B349" s="3" t="str">
        <f>"00033467"</f>
        <v>00033467</v>
      </c>
    </row>
    <row r="350" spans="1:2" x14ac:dyDescent="0.25">
      <c r="A350" s="3">
        <v>345</v>
      </c>
      <c r="B350" s="3" t="str">
        <f>"00033808"</f>
        <v>00033808</v>
      </c>
    </row>
    <row r="351" spans="1:2" x14ac:dyDescent="0.25">
      <c r="A351" s="3">
        <v>346</v>
      </c>
      <c r="B351" s="3" t="str">
        <f>"00034001"</f>
        <v>00034001</v>
      </c>
    </row>
    <row r="352" spans="1:2" x14ac:dyDescent="0.25">
      <c r="A352" s="3">
        <v>347</v>
      </c>
      <c r="B352" s="3" t="str">
        <f>"00034310"</f>
        <v>00034310</v>
      </c>
    </row>
    <row r="353" spans="1:2" x14ac:dyDescent="0.25">
      <c r="A353" s="3">
        <v>348</v>
      </c>
      <c r="B353" s="3" t="str">
        <f>"00034576"</f>
        <v>00034576</v>
      </c>
    </row>
    <row r="354" spans="1:2" x14ac:dyDescent="0.25">
      <c r="A354" s="3">
        <v>349</v>
      </c>
      <c r="B354" s="3" t="str">
        <f>"00034907"</f>
        <v>00034907</v>
      </c>
    </row>
    <row r="355" spans="1:2" x14ac:dyDescent="0.25">
      <c r="A355" s="3">
        <v>350</v>
      </c>
      <c r="B355" s="3" t="str">
        <f>"00034937"</f>
        <v>00034937</v>
      </c>
    </row>
    <row r="356" spans="1:2" x14ac:dyDescent="0.25">
      <c r="A356" s="3">
        <v>351</v>
      </c>
      <c r="B356" s="3" t="str">
        <f>"00034979"</f>
        <v>00034979</v>
      </c>
    </row>
    <row r="357" spans="1:2" x14ac:dyDescent="0.25">
      <c r="A357" s="3">
        <v>352</v>
      </c>
      <c r="B357" s="3" t="str">
        <f>"00035103"</f>
        <v>00035103</v>
      </c>
    </row>
    <row r="358" spans="1:2" x14ac:dyDescent="0.25">
      <c r="A358" s="3">
        <v>353</v>
      </c>
      <c r="B358" s="3" t="str">
        <f>"00035149"</f>
        <v>00035149</v>
      </c>
    </row>
    <row r="359" spans="1:2" x14ac:dyDescent="0.25">
      <c r="A359" s="3">
        <v>354</v>
      </c>
      <c r="B359" s="3" t="str">
        <f>"00035258"</f>
        <v>00035258</v>
      </c>
    </row>
    <row r="360" spans="1:2" x14ac:dyDescent="0.25">
      <c r="A360" s="3">
        <v>355</v>
      </c>
      <c r="B360" s="3" t="str">
        <f>"00035829"</f>
        <v>00035829</v>
      </c>
    </row>
    <row r="361" spans="1:2" x14ac:dyDescent="0.25">
      <c r="A361" s="3">
        <v>356</v>
      </c>
      <c r="B361" s="3" t="str">
        <f>"00035854"</f>
        <v>00035854</v>
      </c>
    </row>
    <row r="362" spans="1:2" x14ac:dyDescent="0.25">
      <c r="A362" s="3">
        <v>357</v>
      </c>
      <c r="B362" s="3" t="str">
        <f>"00036021"</f>
        <v>00036021</v>
      </c>
    </row>
    <row r="363" spans="1:2" x14ac:dyDescent="0.25">
      <c r="A363" s="3">
        <v>358</v>
      </c>
      <c r="B363" s="3" t="str">
        <f>"00036024"</f>
        <v>00036024</v>
      </c>
    </row>
    <row r="364" spans="1:2" x14ac:dyDescent="0.25">
      <c r="A364" s="3">
        <v>359</v>
      </c>
      <c r="B364" s="3" t="str">
        <f>"00036105"</f>
        <v>00036105</v>
      </c>
    </row>
    <row r="365" spans="1:2" x14ac:dyDescent="0.25">
      <c r="A365" s="3">
        <v>360</v>
      </c>
      <c r="B365" s="3" t="str">
        <f>"00036127"</f>
        <v>00036127</v>
      </c>
    </row>
    <row r="366" spans="1:2" x14ac:dyDescent="0.25">
      <c r="A366" s="3">
        <v>361</v>
      </c>
      <c r="B366" s="3" t="str">
        <f>"00036149"</f>
        <v>00036149</v>
      </c>
    </row>
    <row r="367" spans="1:2" x14ac:dyDescent="0.25">
      <c r="A367" s="3">
        <v>362</v>
      </c>
      <c r="B367" s="3" t="str">
        <f>"00036161"</f>
        <v>00036161</v>
      </c>
    </row>
    <row r="368" spans="1:2" x14ac:dyDescent="0.25">
      <c r="A368" s="3">
        <v>363</v>
      </c>
      <c r="B368" s="3" t="str">
        <f>"00036283"</f>
        <v>00036283</v>
      </c>
    </row>
    <row r="369" spans="1:2" x14ac:dyDescent="0.25">
      <c r="A369" s="3">
        <v>364</v>
      </c>
      <c r="B369" s="3" t="str">
        <f>"00036335"</f>
        <v>00036335</v>
      </c>
    </row>
    <row r="370" spans="1:2" x14ac:dyDescent="0.25">
      <c r="A370" s="3">
        <v>365</v>
      </c>
      <c r="B370" s="3" t="str">
        <f>"00036438"</f>
        <v>00036438</v>
      </c>
    </row>
    <row r="371" spans="1:2" x14ac:dyDescent="0.25">
      <c r="A371" s="3">
        <v>366</v>
      </c>
      <c r="B371" s="3" t="str">
        <f>"00036486"</f>
        <v>00036486</v>
      </c>
    </row>
    <row r="372" spans="1:2" x14ac:dyDescent="0.25">
      <c r="A372" s="3">
        <v>367</v>
      </c>
      <c r="B372" s="3" t="str">
        <f>"00036613"</f>
        <v>00036613</v>
      </c>
    </row>
    <row r="373" spans="1:2" x14ac:dyDescent="0.25">
      <c r="A373" s="3">
        <v>368</v>
      </c>
      <c r="B373" s="3" t="str">
        <f>"00036812"</f>
        <v>00036812</v>
      </c>
    </row>
    <row r="374" spans="1:2" x14ac:dyDescent="0.25">
      <c r="A374" s="3">
        <v>369</v>
      </c>
      <c r="B374" s="3" t="str">
        <f>"00036885"</f>
        <v>00036885</v>
      </c>
    </row>
    <row r="375" spans="1:2" x14ac:dyDescent="0.25">
      <c r="A375" s="3">
        <v>370</v>
      </c>
      <c r="B375" s="3" t="str">
        <f>"00036889"</f>
        <v>00036889</v>
      </c>
    </row>
    <row r="376" spans="1:2" x14ac:dyDescent="0.25">
      <c r="A376" s="3">
        <v>371</v>
      </c>
      <c r="B376" s="3" t="str">
        <f>"00036895"</f>
        <v>00036895</v>
      </c>
    </row>
    <row r="377" spans="1:2" x14ac:dyDescent="0.25">
      <c r="A377" s="3">
        <v>372</v>
      </c>
      <c r="B377" s="3" t="str">
        <f>"00036982"</f>
        <v>00036982</v>
      </c>
    </row>
    <row r="378" spans="1:2" x14ac:dyDescent="0.25">
      <c r="A378" s="3">
        <v>373</v>
      </c>
      <c r="B378" s="3" t="str">
        <f>"00037071"</f>
        <v>00037071</v>
      </c>
    </row>
    <row r="379" spans="1:2" x14ac:dyDescent="0.25">
      <c r="A379" s="3">
        <v>374</v>
      </c>
      <c r="B379" s="3" t="str">
        <f>"00037144"</f>
        <v>00037144</v>
      </c>
    </row>
    <row r="380" spans="1:2" x14ac:dyDescent="0.25">
      <c r="A380" s="3">
        <v>375</v>
      </c>
      <c r="B380" s="3" t="str">
        <f>"00037182"</f>
        <v>00037182</v>
      </c>
    </row>
    <row r="381" spans="1:2" x14ac:dyDescent="0.25">
      <c r="A381" s="3">
        <v>376</v>
      </c>
      <c r="B381" s="3" t="str">
        <f>"00037451"</f>
        <v>00037451</v>
      </c>
    </row>
    <row r="382" spans="1:2" x14ac:dyDescent="0.25">
      <c r="A382" s="3">
        <v>377</v>
      </c>
      <c r="B382" s="3" t="str">
        <f>"00037512"</f>
        <v>00037512</v>
      </c>
    </row>
    <row r="383" spans="1:2" x14ac:dyDescent="0.25">
      <c r="A383" s="3">
        <v>378</v>
      </c>
      <c r="B383" s="3" t="str">
        <f>"00037534"</f>
        <v>00037534</v>
      </c>
    </row>
    <row r="384" spans="1:2" x14ac:dyDescent="0.25">
      <c r="A384" s="3">
        <v>379</v>
      </c>
      <c r="B384" s="3" t="str">
        <f>"00037634"</f>
        <v>00037634</v>
      </c>
    </row>
    <row r="385" spans="1:2" x14ac:dyDescent="0.25">
      <c r="A385" s="3">
        <v>380</v>
      </c>
      <c r="B385" s="3" t="str">
        <f>"00037669"</f>
        <v>00037669</v>
      </c>
    </row>
    <row r="386" spans="1:2" x14ac:dyDescent="0.25">
      <c r="A386" s="3">
        <v>381</v>
      </c>
      <c r="B386" s="3" t="str">
        <f>"00037828"</f>
        <v>00037828</v>
      </c>
    </row>
    <row r="387" spans="1:2" x14ac:dyDescent="0.25">
      <c r="A387" s="3">
        <v>382</v>
      </c>
      <c r="B387" s="3" t="str">
        <f>"00037914"</f>
        <v>00037914</v>
      </c>
    </row>
    <row r="388" spans="1:2" x14ac:dyDescent="0.25">
      <c r="A388" s="3">
        <v>383</v>
      </c>
      <c r="B388" s="3" t="str">
        <f>"00037916"</f>
        <v>00037916</v>
      </c>
    </row>
    <row r="389" spans="1:2" x14ac:dyDescent="0.25">
      <c r="A389" s="3">
        <v>384</v>
      </c>
      <c r="B389" s="3" t="str">
        <f>"00037928"</f>
        <v>00037928</v>
      </c>
    </row>
    <row r="390" spans="1:2" x14ac:dyDescent="0.25">
      <c r="A390" s="3">
        <v>385</v>
      </c>
      <c r="B390" s="3" t="str">
        <f>"00037948"</f>
        <v>00037948</v>
      </c>
    </row>
    <row r="391" spans="1:2" x14ac:dyDescent="0.25">
      <c r="A391" s="3">
        <v>386</v>
      </c>
      <c r="B391" s="3" t="str">
        <f>"00037949"</f>
        <v>00037949</v>
      </c>
    </row>
    <row r="392" spans="1:2" x14ac:dyDescent="0.25">
      <c r="A392" s="3">
        <v>387</v>
      </c>
      <c r="B392" s="3" t="str">
        <f>"00038234"</f>
        <v>00038234</v>
      </c>
    </row>
    <row r="393" spans="1:2" x14ac:dyDescent="0.25">
      <c r="A393" s="3">
        <v>388</v>
      </c>
      <c r="B393" s="3" t="str">
        <f>"00038239"</f>
        <v>00038239</v>
      </c>
    </row>
    <row r="394" spans="1:2" x14ac:dyDescent="0.25">
      <c r="A394" s="3">
        <v>389</v>
      </c>
      <c r="B394" s="3" t="str">
        <f>"00038301"</f>
        <v>00038301</v>
      </c>
    </row>
    <row r="395" spans="1:2" x14ac:dyDescent="0.25">
      <c r="A395" s="3">
        <v>390</v>
      </c>
      <c r="B395" s="3" t="str">
        <f>"00038520"</f>
        <v>00038520</v>
      </c>
    </row>
    <row r="396" spans="1:2" x14ac:dyDescent="0.25">
      <c r="A396" s="3">
        <v>391</v>
      </c>
      <c r="B396" s="3" t="str">
        <f>"00038634"</f>
        <v>00038634</v>
      </c>
    </row>
    <row r="397" spans="1:2" x14ac:dyDescent="0.25">
      <c r="A397" s="3">
        <v>392</v>
      </c>
      <c r="B397" s="3" t="str">
        <f>"00038708"</f>
        <v>00038708</v>
      </c>
    </row>
    <row r="398" spans="1:2" x14ac:dyDescent="0.25">
      <c r="A398" s="3">
        <v>393</v>
      </c>
      <c r="B398" s="3" t="str">
        <f>"00038730"</f>
        <v>00038730</v>
      </c>
    </row>
    <row r="399" spans="1:2" x14ac:dyDescent="0.25">
      <c r="A399" s="3">
        <v>394</v>
      </c>
      <c r="B399" s="3" t="str">
        <f>"00038744"</f>
        <v>00038744</v>
      </c>
    </row>
    <row r="400" spans="1:2" x14ac:dyDescent="0.25">
      <c r="A400" s="3">
        <v>395</v>
      </c>
      <c r="B400" s="3" t="str">
        <f>"00038827"</f>
        <v>00038827</v>
      </c>
    </row>
    <row r="401" spans="1:2" x14ac:dyDescent="0.25">
      <c r="A401" s="3">
        <v>396</v>
      </c>
      <c r="B401" s="3" t="str">
        <f>"00039451"</f>
        <v>00039451</v>
      </c>
    </row>
    <row r="402" spans="1:2" x14ac:dyDescent="0.25">
      <c r="A402" s="3">
        <v>397</v>
      </c>
      <c r="B402" s="3" t="str">
        <f>"00039465"</f>
        <v>00039465</v>
      </c>
    </row>
    <row r="403" spans="1:2" x14ac:dyDescent="0.25">
      <c r="A403" s="3">
        <v>398</v>
      </c>
      <c r="B403" s="3" t="str">
        <f>"00039664"</f>
        <v>00039664</v>
      </c>
    </row>
    <row r="404" spans="1:2" x14ac:dyDescent="0.25">
      <c r="A404" s="3">
        <v>399</v>
      </c>
      <c r="B404" s="3" t="str">
        <f>"00039699"</f>
        <v>00039699</v>
      </c>
    </row>
    <row r="405" spans="1:2" x14ac:dyDescent="0.25">
      <c r="A405" s="3">
        <v>400</v>
      </c>
      <c r="B405" s="3" t="str">
        <f>"00039742"</f>
        <v>00039742</v>
      </c>
    </row>
    <row r="406" spans="1:2" x14ac:dyDescent="0.25">
      <c r="A406" s="3">
        <v>401</v>
      </c>
      <c r="B406" s="3" t="str">
        <f>"00039805"</f>
        <v>00039805</v>
      </c>
    </row>
    <row r="407" spans="1:2" x14ac:dyDescent="0.25">
      <c r="A407" s="3">
        <v>402</v>
      </c>
      <c r="B407" s="3" t="str">
        <f>"00039827"</f>
        <v>00039827</v>
      </c>
    </row>
    <row r="408" spans="1:2" x14ac:dyDescent="0.25">
      <c r="A408" s="3">
        <v>403</v>
      </c>
      <c r="B408" s="3" t="str">
        <f>"00039922"</f>
        <v>00039922</v>
      </c>
    </row>
    <row r="409" spans="1:2" x14ac:dyDescent="0.25">
      <c r="A409" s="3">
        <v>404</v>
      </c>
      <c r="B409" s="3" t="str">
        <f>"00040092"</f>
        <v>00040092</v>
      </c>
    </row>
    <row r="410" spans="1:2" x14ac:dyDescent="0.25">
      <c r="A410" s="3">
        <v>405</v>
      </c>
      <c r="B410" s="3" t="str">
        <f>"00040099"</f>
        <v>00040099</v>
      </c>
    </row>
    <row r="411" spans="1:2" x14ac:dyDescent="0.25">
      <c r="A411" s="3">
        <v>406</v>
      </c>
      <c r="B411" s="3" t="str">
        <f>"00040363"</f>
        <v>00040363</v>
      </c>
    </row>
    <row r="412" spans="1:2" x14ac:dyDescent="0.25">
      <c r="A412" s="3">
        <v>407</v>
      </c>
      <c r="B412" s="3" t="str">
        <f>"00040393"</f>
        <v>00040393</v>
      </c>
    </row>
    <row r="413" spans="1:2" x14ac:dyDescent="0.25">
      <c r="A413" s="3">
        <v>408</v>
      </c>
      <c r="B413" s="3" t="str">
        <f>"00040409"</f>
        <v>00040409</v>
      </c>
    </row>
    <row r="414" spans="1:2" x14ac:dyDescent="0.25">
      <c r="A414" s="3">
        <v>409</v>
      </c>
      <c r="B414" s="3" t="str">
        <f>"00040652"</f>
        <v>00040652</v>
      </c>
    </row>
    <row r="415" spans="1:2" x14ac:dyDescent="0.25">
      <c r="A415" s="3">
        <v>410</v>
      </c>
      <c r="B415" s="3" t="str">
        <f>"00040724"</f>
        <v>00040724</v>
      </c>
    </row>
    <row r="416" spans="1:2" x14ac:dyDescent="0.25">
      <c r="A416" s="3">
        <v>411</v>
      </c>
      <c r="B416" s="3" t="str">
        <f>"00040962"</f>
        <v>00040962</v>
      </c>
    </row>
    <row r="417" spans="1:2" x14ac:dyDescent="0.25">
      <c r="A417" s="3">
        <v>412</v>
      </c>
      <c r="B417" s="3" t="str">
        <f>"00041026"</f>
        <v>00041026</v>
      </c>
    </row>
    <row r="418" spans="1:2" x14ac:dyDescent="0.25">
      <c r="A418" s="3">
        <v>413</v>
      </c>
      <c r="B418" s="3" t="str">
        <f>"00041070"</f>
        <v>00041070</v>
      </c>
    </row>
    <row r="419" spans="1:2" x14ac:dyDescent="0.25">
      <c r="A419" s="3">
        <v>414</v>
      </c>
      <c r="B419" s="3" t="str">
        <f>"00041159"</f>
        <v>00041159</v>
      </c>
    </row>
    <row r="420" spans="1:2" x14ac:dyDescent="0.25">
      <c r="A420" s="3">
        <v>415</v>
      </c>
      <c r="B420" s="3" t="str">
        <f>"00041318"</f>
        <v>00041318</v>
      </c>
    </row>
    <row r="421" spans="1:2" x14ac:dyDescent="0.25">
      <c r="A421" s="3">
        <v>416</v>
      </c>
      <c r="B421" s="3" t="str">
        <f>"00041328"</f>
        <v>00041328</v>
      </c>
    </row>
    <row r="422" spans="1:2" x14ac:dyDescent="0.25">
      <c r="A422" s="3">
        <v>417</v>
      </c>
      <c r="B422" s="3" t="str">
        <f>"00041367"</f>
        <v>00041367</v>
      </c>
    </row>
    <row r="423" spans="1:2" x14ac:dyDescent="0.25">
      <c r="A423" s="3">
        <v>418</v>
      </c>
      <c r="B423" s="3" t="str">
        <f>"00041671"</f>
        <v>00041671</v>
      </c>
    </row>
    <row r="424" spans="1:2" x14ac:dyDescent="0.25">
      <c r="A424" s="3">
        <v>419</v>
      </c>
      <c r="B424" s="3" t="str">
        <f>"00041728"</f>
        <v>00041728</v>
      </c>
    </row>
    <row r="425" spans="1:2" x14ac:dyDescent="0.25">
      <c r="A425" s="3">
        <v>420</v>
      </c>
      <c r="B425" s="3" t="str">
        <f>"00041731"</f>
        <v>00041731</v>
      </c>
    </row>
    <row r="426" spans="1:2" x14ac:dyDescent="0.25">
      <c r="A426" s="3">
        <v>421</v>
      </c>
      <c r="B426" s="3" t="str">
        <f>"00041745"</f>
        <v>00041745</v>
      </c>
    </row>
    <row r="427" spans="1:2" x14ac:dyDescent="0.25">
      <c r="A427" s="3">
        <v>422</v>
      </c>
      <c r="B427" s="3" t="str">
        <f>"00041748"</f>
        <v>00041748</v>
      </c>
    </row>
    <row r="428" spans="1:2" x14ac:dyDescent="0.25">
      <c r="A428" s="3">
        <v>423</v>
      </c>
      <c r="B428" s="3" t="str">
        <f>"00041763"</f>
        <v>00041763</v>
      </c>
    </row>
    <row r="429" spans="1:2" x14ac:dyDescent="0.25">
      <c r="A429" s="3">
        <v>424</v>
      </c>
      <c r="B429" s="3" t="str">
        <f>"00041854"</f>
        <v>00041854</v>
      </c>
    </row>
    <row r="430" spans="1:2" x14ac:dyDescent="0.25">
      <c r="A430" s="3">
        <v>425</v>
      </c>
      <c r="B430" s="3" t="str">
        <f>"00041921"</f>
        <v>00041921</v>
      </c>
    </row>
    <row r="431" spans="1:2" x14ac:dyDescent="0.25">
      <c r="A431" s="3">
        <v>426</v>
      </c>
      <c r="B431" s="3" t="str">
        <f>"00041945"</f>
        <v>00041945</v>
      </c>
    </row>
    <row r="432" spans="1:2" x14ac:dyDescent="0.25">
      <c r="A432" s="3">
        <v>427</v>
      </c>
      <c r="B432" s="3" t="str">
        <f>"00041980"</f>
        <v>00041980</v>
      </c>
    </row>
    <row r="433" spans="1:2" x14ac:dyDescent="0.25">
      <c r="A433" s="3">
        <v>428</v>
      </c>
      <c r="B433" s="3" t="str">
        <f>"00042010"</f>
        <v>00042010</v>
      </c>
    </row>
    <row r="434" spans="1:2" x14ac:dyDescent="0.25">
      <c r="A434" s="3">
        <v>429</v>
      </c>
      <c r="B434" s="3" t="str">
        <f>"00042042"</f>
        <v>00042042</v>
      </c>
    </row>
    <row r="435" spans="1:2" x14ac:dyDescent="0.25">
      <c r="A435" s="3">
        <v>430</v>
      </c>
      <c r="B435" s="3" t="str">
        <f>"00042086"</f>
        <v>00042086</v>
      </c>
    </row>
    <row r="436" spans="1:2" x14ac:dyDescent="0.25">
      <c r="A436" s="3">
        <v>431</v>
      </c>
      <c r="B436" s="3" t="str">
        <f>"00042151"</f>
        <v>00042151</v>
      </c>
    </row>
    <row r="437" spans="1:2" x14ac:dyDescent="0.25">
      <c r="A437" s="3">
        <v>432</v>
      </c>
      <c r="B437" s="3" t="str">
        <f>"00042212"</f>
        <v>00042212</v>
      </c>
    </row>
    <row r="438" spans="1:2" x14ac:dyDescent="0.25">
      <c r="A438" s="3">
        <v>433</v>
      </c>
      <c r="B438" s="3" t="str">
        <f>"00042293"</f>
        <v>00042293</v>
      </c>
    </row>
    <row r="439" spans="1:2" x14ac:dyDescent="0.25">
      <c r="A439" s="3">
        <v>434</v>
      </c>
      <c r="B439" s="3" t="str">
        <f>"00042436"</f>
        <v>00042436</v>
      </c>
    </row>
    <row r="440" spans="1:2" x14ac:dyDescent="0.25">
      <c r="A440" s="3">
        <v>435</v>
      </c>
      <c r="B440" s="3" t="str">
        <f>"00042526"</f>
        <v>00042526</v>
      </c>
    </row>
    <row r="441" spans="1:2" x14ac:dyDescent="0.25">
      <c r="A441" s="3">
        <v>436</v>
      </c>
      <c r="B441" s="3" t="str">
        <f>"00042616"</f>
        <v>00042616</v>
      </c>
    </row>
    <row r="442" spans="1:2" x14ac:dyDescent="0.25">
      <c r="A442" s="3">
        <v>437</v>
      </c>
      <c r="B442" s="3" t="str">
        <f>"00042784"</f>
        <v>00042784</v>
      </c>
    </row>
    <row r="443" spans="1:2" x14ac:dyDescent="0.25">
      <c r="A443" s="3">
        <v>438</v>
      </c>
      <c r="B443" s="3" t="str">
        <f>"00043115"</f>
        <v>00043115</v>
      </c>
    </row>
    <row r="444" spans="1:2" x14ac:dyDescent="0.25">
      <c r="A444" s="3">
        <v>439</v>
      </c>
      <c r="B444" s="3" t="str">
        <f>"00043185"</f>
        <v>00043185</v>
      </c>
    </row>
    <row r="445" spans="1:2" x14ac:dyDescent="0.25">
      <c r="A445" s="3">
        <v>440</v>
      </c>
      <c r="B445" s="3" t="str">
        <f>"00043288"</f>
        <v>00043288</v>
      </c>
    </row>
    <row r="446" spans="1:2" x14ac:dyDescent="0.25">
      <c r="A446" s="3">
        <v>441</v>
      </c>
      <c r="B446" s="3" t="str">
        <f>"00043472"</f>
        <v>00043472</v>
      </c>
    </row>
    <row r="447" spans="1:2" x14ac:dyDescent="0.25">
      <c r="A447" s="3">
        <v>442</v>
      </c>
      <c r="B447" s="3" t="str">
        <f>"00043481"</f>
        <v>00043481</v>
      </c>
    </row>
    <row r="448" spans="1:2" x14ac:dyDescent="0.25">
      <c r="A448" s="3">
        <v>443</v>
      </c>
      <c r="B448" s="3" t="str">
        <f>"00043540"</f>
        <v>00043540</v>
      </c>
    </row>
    <row r="449" spans="1:2" x14ac:dyDescent="0.25">
      <c r="A449" s="3">
        <v>444</v>
      </c>
      <c r="B449" s="3" t="str">
        <f>"00043550"</f>
        <v>00043550</v>
      </c>
    </row>
    <row r="450" spans="1:2" x14ac:dyDescent="0.25">
      <c r="A450" s="3">
        <v>445</v>
      </c>
      <c r="B450" s="3" t="str">
        <f>"00043566"</f>
        <v>00043566</v>
      </c>
    </row>
    <row r="451" spans="1:2" x14ac:dyDescent="0.25">
      <c r="A451" s="3">
        <v>446</v>
      </c>
      <c r="B451" s="3" t="str">
        <f>"00043678"</f>
        <v>00043678</v>
      </c>
    </row>
    <row r="452" spans="1:2" x14ac:dyDescent="0.25">
      <c r="A452" s="3">
        <v>447</v>
      </c>
      <c r="B452" s="3" t="str">
        <f>"00043734"</f>
        <v>00043734</v>
      </c>
    </row>
    <row r="453" spans="1:2" x14ac:dyDescent="0.25">
      <c r="A453" s="3">
        <v>448</v>
      </c>
      <c r="B453" s="3" t="str">
        <f>"00043890"</f>
        <v>00043890</v>
      </c>
    </row>
    <row r="454" spans="1:2" x14ac:dyDescent="0.25">
      <c r="A454" s="3">
        <v>449</v>
      </c>
      <c r="B454" s="3" t="str">
        <f>"00043939"</f>
        <v>00043939</v>
      </c>
    </row>
    <row r="455" spans="1:2" x14ac:dyDescent="0.25">
      <c r="A455" s="3">
        <v>450</v>
      </c>
      <c r="B455" s="3" t="str">
        <f>"00043974"</f>
        <v>00043974</v>
      </c>
    </row>
    <row r="456" spans="1:2" x14ac:dyDescent="0.25">
      <c r="A456" s="3">
        <v>451</v>
      </c>
      <c r="B456" s="3" t="str">
        <f>"00043992"</f>
        <v>00043992</v>
      </c>
    </row>
    <row r="457" spans="1:2" x14ac:dyDescent="0.25">
      <c r="A457" s="3">
        <v>452</v>
      </c>
      <c r="B457" s="3" t="str">
        <f>"00043993"</f>
        <v>00043993</v>
      </c>
    </row>
    <row r="458" spans="1:2" x14ac:dyDescent="0.25">
      <c r="A458" s="3">
        <v>453</v>
      </c>
      <c r="B458" s="3" t="str">
        <f>"00044034"</f>
        <v>00044034</v>
      </c>
    </row>
    <row r="459" spans="1:2" x14ac:dyDescent="0.25">
      <c r="A459" s="3">
        <v>454</v>
      </c>
      <c r="B459" s="3" t="str">
        <f>"00044472"</f>
        <v>00044472</v>
      </c>
    </row>
    <row r="460" spans="1:2" x14ac:dyDescent="0.25">
      <c r="A460" s="3">
        <v>455</v>
      </c>
      <c r="B460" s="3" t="str">
        <f>"00044508"</f>
        <v>00044508</v>
      </c>
    </row>
    <row r="461" spans="1:2" x14ac:dyDescent="0.25">
      <c r="A461" s="3">
        <v>456</v>
      </c>
      <c r="B461" s="3" t="str">
        <f>"00044513"</f>
        <v>00044513</v>
      </c>
    </row>
    <row r="462" spans="1:2" x14ac:dyDescent="0.25">
      <c r="A462" s="3">
        <v>457</v>
      </c>
      <c r="B462" s="3" t="str">
        <f>"00044624"</f>
        <v>00044624</v>
      </c>
    </row>
    <row r="463" spans="1:2" x14ac:dyDescent="0.25">
      <c r="A463" s="3">
        <v>458</v>
      </c>
      <c r="B463" s="3" t="str">
        <f>"00044652"</f>
        <v>00044652</v>
      </c>
    </row>
    <row r="464" spans="1:2" x14ac:dyDescent="0.25">
      <c r="A464" s="3">
        <v>459</v>
      </c>
      <c r="B464" s="3" t="str">
        <f>"00044697"</f>
        <v>00044697</v>
      </c>
    </row>
    <row r="465" spans="1:2" x14ac:dyDescent="0.25">
      <c r="A465" s="3">
        <v>460</v>
      </c>
      <c r="B465" s="3" t="str">
        <f>"00044714"</f>
        <v>00044714</v>
      </c>
    </row>
    <row r="466" spans="1:2" x14ac:dyDescent="0.25">
      <c r="A466" s="3">
        <v>461</v>
      </c>
      <c r="B466" s="3" t="str">
        <f>"00044753"</f>
        <v>00044753</v>
      </c>
    </row>
    <row r="467" spans="1:2" x14ac:dyDescent="0.25">
      <c r="A467" s="3">
        <v>462</v>
      </c>
      <c r="B467" s="3" t="str">
        <f>"00044837"</f>
        <v>00044837</v>
      </c>
    </row>
    <row r="468" spans="1:2" x14ac:dyDescent="0.25">
      <c r="A468" s="3">
        <v>463</v>
      </c>
      <c r="B468" s="3" t="str">
        <f>"00044919"</f>
        <v>00044919</v>
      </c>
    </row>
    <row r="469" spans="1:2" x14ac:dyDescent="0.25">
      <c r="A469" s="3">
        <v>464</v>
      </c>
      <c r="B469" s="3" t="str">
        <f>"00044936"</f>
        <v>00044936</v>
      </c>
    </row>
    <row r="470" spans="1:2" x14ac:dyDescent="0.25">
      <c r="A470" s="3">
        <v>465</v>
      </c>
      <c r="B470" s="3" t="str">
        <f>"00044962"</f>
        <v>00044962</v>
      </c>
    </row>
    <row r="471" spans="1:2" x14ac:dyDescent="0.25">
      <c r="A471" s="3">
        <v>466</v>
      </c>
      <c r="B471" s="3" t="str">
        <f>"00045058"</f>
        <v>00045058</v>
      </c>
    </row>
    <row r="472" spans="1:2" x14ac:dyDescent="0.25">
      <c r="A472" s="3">
        <v>467</v>
      </c>
      <c r="B472" s="3" t="str">
        <f>"00045327"</f>
        <v>00045327</v>
      </c>
    </row>
    <row r="473" spans="1:2" x14ac:dyDescent="0.25">
      <c r="A473" s="3">
        <v>468</v>
      </c>
      <c r="B473" s="3" t="str">
        <f>"00045375"</f>
        <v>00045375</v>
      </c>
    </row>
    <row r="474" spans="1:2" x14ac:dyDescent="0.25">
      <c r="A474" s="3">
        <v>469</v>
      </c>
      <c r="B474" s="3" t="str">
        <f>"00045664"</f>
        <v>00045664</v>
      </c>
    </row>
    <row r="475" spans="1:2" x14ac:dyDescent="0.25">
      <c r="A475" s="3">
        <v>470</v>
      </c>
      <c r="B475" s="3" t="str">
        <f>"00045688"</f>
        <v>00045688</v>
      </c>
    </row>
    <row r="476" spans="1:2" x14ac:dyDescent="0.25">
      <c r="A476" s="3">
        <v>471</v>
      </c>
      <c r="B476" s="3" t="str">
        <f>"00045701"</f>
        <v>00045701</v>
      </c>
    </row>
    <row r="477" spans="1:2" x14ac:dyDescent="0.25">
      <c r="A477" s="3">
        <v>472</v>
      </c>
      <c r="B477" s="3" t="str">
        <f>"00045757"</f>
        <v>00045757</v>
      </c>
    </row>
    <row r="478" spans="1:2" x14ac:dyDescent="0.25">
      <c r="A478" s="3">
        <v>473</v>
      </c>
      <c r="B478" s="3" t="str">
        <f>"00045901"</f>
        <v>00045901</v>
      </c>
    </row>
    <row r="479" spans="1:2" x14ac:dyDescent="0.25">
      <c r="A479" s="3">
        <v>474</v>
      </c>
      <c r="B479" s="3" t="str">
        <f>"00045936"</f>
        <v>00045936</v>
      </c>
    </row>
    <row r="480" spans="1:2" x14ac:dyDescent="0.25">
      <c r="A480" s="3">
        <v>475</v>
      </c>
      <c r="B480" s="3" t="str">
        <f>"00046015"</f>
        <v>00046015</v>
      </c>
    </row>
    <row r="481" spans="1:2" x14ac:dyDescent="0.25">
      <c r="A481" s="3">
        <v>476</v>
      </c>
      <c r="B481" s="3" t="str">
        <f>"00046042"</f>
        <v>00046042</v>
      </c>
    </row>
    <row r="482" spans="1:2" x14ac:dyDescent="0.25">
      <c r="A482" s="3">
        <v>477</v>
      </c>
      <c r="B482" s="3" t="str">
        <f>"00046113"</f>
        <v>00046113</v>
      </c>
    </row>
    <row r="483" spans="1:2" x14ac:dyDescent="0.25">
      <c r="A483" s="3">
        <v>478</v>
      </c>
      <c r="B483" s="3" t="str">
        <f>"00046222"</f>
        <v>00046222</v>
      </c>
    </row>
    <row r="484" spans="1:2" x14ac:dyDescent="0.25">
      <c r="A484" s="3">
        <v>479</v>
      </c>
      <c r="B484" s="3" t="str">
        <f>"00046225"</f>
        <v>00046225</v>
      </c>
    </row>
    <row r="485" spans="1:2" x14ac:dyDescent="0.25">
      <c r="A485" s="3">
        <v>480</v>
      </c>
      <c r="B485" s="3" t="str">
        <f>"00046303"</f>
        <v>00046303</v>
      </c>
    </row>
    <row r="486" spans="1:2" x14ac:dyDescent="0.25">
      <c r="A486" s="3">
        <v>481</v>
      </c>
      <c r="B486" s="3" t="str">
        <f>"00046355"</f>
        <v>00046355</v>
      </c>
    </row>
    <row r="487" spans="1:2" x14ac:dyDescent="0.25">
      <c r="A487" s="3">
        <v>482</v>
      </c>
      <c r="B487" s="3" t="str">
        <f>"00046392"</f>
        <v>00046392</v>
      </c>
    </row>
    <row r="488" spans="1:2" x14ac:dyDescent="0.25">
      <c r="A488" s="3">
        <v>483</v>
      </c>
      <c r="B488" s="3" t="str">
        <f>"00046440"</f>
        <v>00046440</v>
      </c>
    </row>
    <row r="489" spans="1:2" x14ac:dyDescent="0.25">
      <c r="A489" s="3">
        <v>484</v>
      </c>
      <c r="B489" s="3" t="str">
        <f>"00046497"</f>
        <v>00046497</v>
      </c>
    </row>
    <row r="490" spans="1:2" x14ac:dyDescent="0.25">
      <c r="A490" s="3">
        <v>485</v>
      </c>
      <c r="B490" s="3" t="str">
        <f>"00046713"</f>
        <v>00046713</v>
      </c>
    </row>
    <row r="491" spans="1:2" x14ac:dyDescent="0.25">
      <c r="A491" s="3">
        <v>486</v>
      </c>
      <c r="B491" s="3" t="str">
        <f>"00046776"</f>
        <v>00046776</v>
      </c>
    </row>
    <row r="492" spans="1:2" x14ac:dyDescent="0.25">
      <c r="A492" s="3">
        <v>487</v>
      </c>
      <c r="B492" s="3" t="str">
        <f>"00046790"</f>
        <v>00046790</v>
      </c>
    </row>
    <row r="493" spans="1:2" x14ac:dyDescent="0.25">
      <c r="A493" s="3">
        <v>488</v>
      </c>
      <c r="B493" s="3" t="str">
        <f>"00046944"</f>
        <v>00046944</v>
      </c>
    </row>
    <row r="494" spans="1:2" x14ac:dyDescent="0.25">
      <c r="A494" s="3">
        <v>489</v>
      </c>
      <c r="B494" s="3" t="str">
        <f>"00046989"</f>
        <v>00046989</v>
      </c>
    </row>
    <row r="495" spans="1:2" x14ac:dyDescent="0.25">
      <c r="A495" s="3">
        <v>490</v>
      </c>
      <c r="B495" s="3" t="str">
        <f>"00047022"</f>
        <v>00047022</v>
      </c>
    </row>
    <row r="496" spans="1:2" x14ac:dyDescent="0.25">
      <c r="A496" s="3">
        <v>491</v>
      </c>
      <c r="B496" s="3" t="str">
        <f>"00047290"</f>
        <v>00047290</v>
      </c>
    </row>
    <row r="497" spans="1:2" x14ac:dyDescent="0.25">
      <c r="A497" s="3">
        <v>492</v>
      </c>
      <c r="B497" s="3" t="str">
        <f>"00047338"</f>
        <v>00047338</v>
      </c>
    </row>
    <row r="498" spans="1:2" x14ac:dyDescent="0.25">
      <c r="A498" s="3">
        <v>493</v>
      </c>
      <c r="B498" s="3" t="str">
        <f>"00047413"</f>
        <v>00047413</v>
      </c>
    </row>
    <row r="499" spans="1:2" x14ac:dyDescent="0.25">
      <c r="A499" s="3">
        <v>494</v>
      </c>
      <c r="B499" s="3" t="str">
        <f>"00047471"</f>
        <v>00047471</v>
      </c>
    </row>
    <row r="500" spans="1:2" x14ac:dyDescent="0.25">
      <c r="A500" s="3">
        <v>495</v>
      </c>
      <c r="B500" s="3" t="str">
        <f>"00047827"</f>
        <v>00047827</v>
      </c>
    </row>
    <row r="501" spans="1:2" x14ac:dyDescent="0.25">
      <c r="A501" s="3">
        <v>496</v>
      </c>
      <c r="B501" s="3" t="str">
        <f>"00047878"</f>
        <v>00047878</v>
      </c>
    </row>
    <row r="502" spans="1:2" x14ac:dyDescent="0.25">
      <c r="A502" s="3">
        <v>497</v>
      </c>
      <c r="B502" s="3" t="str">
        <f>"00047994"</f>
        <v>00047994</v>
      </c>
    </row>
    <row r="503" spans="1:2" x14ac:dyDescent="0.25">
      <c r="A503" s="3">
        <v>498</v>
      </c>
      <c r="B503" s="3" t="str">
        <f>"00048007"</f>
        <v>00048007</v>
      </c>
    </row>
    <row r="504" spans="1:2" x14ac:dyDescent="0.25">
      <c r="A504" s="3">
        <v>499</v>
      </c>
      <c r="B504" s="3" t="str">
        <f>"00049035"</f>
        <v>00049035</v>
      </c>
    </row>
    <row r="505" spans="1:2" x14ac:dyDescent="0.25">
      <c r="A505" s="3">
        <v>500</v>
      </c>
      <c r="B505" s="3" t="str">
        <f>"00049213"</f>
        <v>00049213</v>
      </c>
    </row>
    <row r="506" spans="1:2" x14ac:dyDescent="0.25">
      <c r="A506" s="3">
        <v>501</v>
      </c>
      <c r="B506" s="3" t="str">
        <f>"00049235"</f>
        <v>00049235</v>
      </c>
    </row>
    <row r="507" spans="1:2" x14ac:dyDescent="0.25">
      <c r="A507" s="3">
        <v>502</v>
      </c>
      <c r="B507" s="3" t="str">
        <f>"00049236"</f>
        <v>00049236</v>
      </c>
    </row>
    <row r="508" spans="1:2" x14ac:dyDescent="0.25">
      <c r="A508" s="3">
        <v>503</v>
      </c>
      <c r="B508" s="3" t="str">
        <f>"00049251"</f>
        <v>00049251</v>
      </c>
    </row>
    <row r="509" spans="1:2" x14ac:dyDescent="0.25">
      <c r="A509" s="3">
        <v>504</v>
      </c>
      <c r="B509" s="3" t="str">
        <f>"00049345"</f>
        <v>00049345</v>
      </c>
    </row>
    <row r="510" spans="1:2" x14ac:dyDescent="0.25">
      <c r="A510" s="3">
        <v>505</v>
      </c>
      <c r="B510" s="3" t="str">
        <f>"00049357"</f>
        <v>00049357</v>
      </c>
    </row>
    <row r="511" spans="1:2" x14ac:dyDescent="0.25">
      <c r="A511" s="3">
        <v>506</v>
      </c>
      <c r="B511" s="3" t="str">
        <f>"00049360"</f>
        <v>00049360</v>
      </c>
    </row>
    <row r="512" spans="1:2" x14ac:dyDescent="0.25">
      <c r="A512" s="3">
        <v>507</v>
      </c>
      <c r="B512" s="3" t="str">
        <f>"00049365"</f>
        <v>00049365</v>
      </c>
    </row>
    <row r="513" spans="1:2" x14ac:dyDescent="0.25">
      <c r="A513" s="3">
        <v>508</v>
      </c>
      <c r="B513" s="3" t="str">
        <f>"00049389"</f>
        <v>00049389</v>
      </c>
    </row>
    <row r="514" spans="1:2" x14ac:dyDescent="0.25">
      <c r="A514" s="3">
        <v>509</v>
      </c>
      <c r="B514" s="3" t="str">
        <f>"00049390"</f>
        <v>00049390</v>
      </c>
    </row>
    <row r="515" spans="1:2" x14ac:dyDescent="0.25">
      <c r="A515" s="3">
        <v>510</v>
      </c>
      <c r="B515" s="3" t="str">
        <f>"00049422"</f>
        <v>00049422</v>
      </c>
    </row>
    <row r="516" spans="1:2" x14ac:dyDescent="0.25">
      <c r="A516" s="3">
        <v>511</v>
      </c>
      <c r="B516" s="3" t="str">
        <f>"00049457"</f>
        <v>00049457</v>
      </c>
    </row>
    <row r="517" spans="1:2" x14ac:dyDescent="0.25">
      <c r="A517" s="3">
        <v>512</v>
      </c>
      <c r="B517" s="3" t="str">
        <f>"00049565"</f>
        <v>00049565</v>
      </c>
    </row>
    <row r="518" spans="1:2" x14ac:dyDescent="0.25">
      <c r="A518" s="3">
        <v>513</v>
      </c>
      <c r="B518" s="3" t="str">
        <f>"00049585"</f>
        <v>00049585</v>
      </c>
    </row>
    <row r="519" spans="1:2" x14ac:dyDescent="0.25">
      <c r="A519" s="3">
        <v>514</v>
      </c>
      <c r="B519" s="3" t="str">
        <f>"00049670"</f>
        <v>00049670</v>
      </c>
    </row>
    <row r="520" spans="1:2" x14ac:dyDescent="0.25">
      <c r="A520" s="3">
        <v>515</v>
      </c>
      <c r="B520" s="3" t="str">
        <f>"00049682"</f>
        <v>00049682</v>
      </c>
    </row>
    <row r="521" spans="1:2" x14ac:dyDescent="0.25">
      <c r="A521" s="3">
        <v>516</v>
      </c>
      <c r="B521" s="3" t="str">
        <f>"00049783"</f>
        <v>00049783</v>
      </c>
    </row>
    <row r="522" spans="1:2" x14ac:dyDescent="0.25">
      <c r="A522" s="3">
        <v>517</v>
      </c>
      <c r="B522" s="3" t="str">
        <f>"00049874"</f>
        <v>00049874</v>
      </c>
    </row>
    <row r="523" spans="1:2" x14ac:dyDescent="0.25">
      <c r="A523" s="3">
        <v>518</v>
      </c>
      <c r="B523" s="3" t="str">
        <f>"00050011"</f>
        <v>00050011</v>
      </c>
    </row>
    <row r="524" spans="1:2" x14ac:dyDescent="0.25">
      <c r="A524" s="3">
        <v>519</v>
      </c>
      <c r="B524" s="3" t="str">
        <f>"00050112"</f>
        <v>00050112</v>
      </c>
    </row>
    <row r="525" spans="1:2" x14ac:dyDescent="0.25">
      <c r="A525" s="3">
        <v>520</v>
      </c>
      <c r="B525" s="3" t="str">
        <f>"00050138"</f>
        <v>00050138</v>
      </c>
    </row>
    <row r="526" spans="1:2" x14ac:dyDescent="0.25">
      <c r="A526" s="3">
        <v>521</v>
      </c>
      <c r="B526" s="3" t="str">
        <f>"00050291"</f>
        <v>00050291</v>
      </c>
    </row>
    <row r="527" spans="1:2" x14ac:dyDescent="0.25">
      <c r="A527" s="3">
        <v>522</v>
      </c>
      <c r="B527" s="3" t="str">
        <f>"00050305"</f>
        <v>00050305</v>
      </c>
    </row>
    <row r="528" spans="1:2" x14ac:dyDescent="0.25">
      <c r="A528" s="3">
        <v>523</v>
      </c>
      <c r="B528" s="3" t="str">
        <f>"00050312"</f>
        <v>00050312</v>
      </c>
    </row>
    <row r="529" spans="1:2" x14ac:dyDescent="0.25">
      <c r="A529" s="3">
        <v>524</v>
      </c>
      <c r="B529" s="3" t="str">
        <f>"00050482"</f>
        <v>00050482</v>
      </c>
    </row>
    <row r="530" spans="1:2" x14ac:dyDescent="0.25">
      <c r="A530" s="3">
        <v>525</v>
      </c>
      <c r="B530" s="3" t="str">
        <f>"00050603"</f>
        <v>00050603</v>
      </c>
    </row>
    <row r="531" spans="1:2" x14ac:dyDescent="0.25">
      <c r="A531" s="3">
        <v>526</v>
      </c>
      <c r="B531" s="3" t="str">
        <f>"00050615"</f>
        <v>00050615</v>
      </c>
    </row>
    <row r="532" spans="1:2" x14ac:dyDescent="0.25">
      <c r="A532" s="3">
        <v>527</v>
      </c>
      <c r="B532" s="3" t="str">
        <f>"00050881"</f>
        <v>00050881</v>
      </c>
    </row>
    <row r="533" spans="1:2" x14ac:dyDescent="0.25">
      <c r="A533" s="3">
        <v>528</v>
      </c>
      <c r="B533" s="3" t="str">
        <f>"00050918"</f>
        <v>00050918</v>
      </c>
    </row>
    <row r="534" spans="1:2" x14ac:dyDescent="0.25">
      <c r="A534" s="3">
        <v>529</v>
      </c>
      <c r="B534" s="3" t="str">
        <f>"00051119"</f>
        <v>00051119</v>
      </c>
    </row>
    <row r="535" spans="1:2" x14ac:dyDescent="0.25">
      <c r="A535" s="3">
        <v>530</v>
      </c>
      <c r="B535" s="3" t="str">
        <f>"00052074"</f>
        <v>00052074</v>
      </c>
    </row>
    <row r="536" spans="1:2" x14ac:dyDescent="0.25">
      <c r="A536" s="3">
        <v>531</v>
      </c>
      <c r="B536" s="3" t="str">
        <f>"00052565"</f>
        <v>00052565</v>
      </c>
    </row>
    <row r="537" spans="1:2" x14ac:dyDescent="0.25">
      <c r="A537" s="3">
        <v>532</v>
      </c>
      <c r="B537" s="3" t="str">
        <f>"00052940"</f>
        <v>00052940</v>
      </c>
    </row>
    <row r="538" spans="1:2" x14ac:dyDescent="0.25">
      <c r="A538" s="3">
        <v>533</v>
      </c>
      <c r="B538" s="3" t="str">
        <f>"00053255"</f>
        <v>00053255</v>
      </c>
    </row>
    <row r="539" spans="1:2" x14ac:dyDescent="0.25">
      <c r="A539" s="3">
        <v>534</v>
      </c>
      <c r="B539" s="3" t="str">
        <f>"00053321"</f>
        <v>00053321</v>
      </c>
    </row>
    <row r="540" spans="1:2" x14ac:dyDescent="0.25">
      <c r="A540" s="3">
        <v>535</v>
      </c>
      <c r="B540" s="3" t="str">
        <f>"00054209"</f>
        <v>00054209</v>
      </c>
    </row>
    <row r="541" spans="1:2" x14ac:dyDescent="0.25">
      <c r="A541" s="3">
        <v>536</v>
      </c>
      <c r="B541" s="3" t="str">
        <f>"00054463"</f>
        <v>00054463</v>
      </c>
    </row>
    <row r="542" spans="1:2" x14ac:dyDescent="0.25">
      <c r="A542" s="3">
        <v>537</v>
      </c>
      <c r="B542" s="3" t="str">
        <f>"00056099"</f>
        <v>00056099</v>
      </c>
    </row>
    <row r="543" spans="1:2" x14ac:dyDescent="0.25">
      <c r="A543" s="3">
        <v>538</v>
      </c>
      <c r="B543" s="3" t="str">
        <f>"00057230"</f>
        <v>00057230</v>
      </c>
    </row>
    <row r="544" spans="1:2" x14ac:dyDescent="0.25">
      <c r="A544" s="3">
        <v>539</v>
      </c>
      <c r="B544" s="3" t="str">
        <f>"00057287"</f>
        <v>00057287</v>
      </c>
    </row>
    <row r="545" spans="1:2" x14ac:dyDescent="0.25">
      <c r="A545" s="3">
        <v>540</v>
      </c>
      <c r="B545" s="3" t="str">
        <f>"00057382"</f>
        <v>00057382</v>
      </c>
    </row>
    <row r="546" spans="1:2" x14ac:dyDescent="0.25">
      <c r="A546" s="3">
        <v>541</v>
      </c>
      <c r="B546" s="3" t="str">
        <f>"00057590"</f>
        <v>00057590</v>
      </c>
    </row>
    <row r="547" spans="1:2" x14ac:dyDescent="0.25">
      <c r="A547" s="3">
        <v>542</v>
      </c>
      <c r="B547" s="3" t="str">
        <f>"00058375"</f>
        <v>00058375</v>
      </c>
    </row>
    <row r="548" spans="1:2" x14ac:dyDescent="0.25">
      <c r="A548" s="3">
        <v>543</v>
      </c>
      <c r="B548" s="3" t="str">
        <f>"00058436"</f>
        <v>00058436</v>
      </c>
    </row>
    <row r="549" spans="1:2" x14ac:dyDescent="0.25">
      <c r="A549" s="3">
        <v>544</v>
      </c>
      <c r="B549" s="3" t="str">
        <f>"00059119"</f>
        <v>00059119</v>
      </c>
    </row>
    <row r="550" spans="1:2" x14ac:dyDescent="0.25">
      <c r="A550" s="3">
        <v>545</v>
      </c>
      <c r="B550" s="3" t="str">
        <f>"00061750"</f>
        <v>00061750</v>
      </c>
    </row>
    <row r="551" spans="1:2" x14ac:dyDescent="0.25">
      <c r="A551" s="3">
        <v>546</v>
      </c>
      <c r="B551" s="3" t="str">
        <f>"00062612"</f>
        <v>00062612</v>
      </c>
    </row>
    <row r="552" spans="1:2" x14ac:dyDescent="0.25">
      <c r="A552" s="3">
        <v>547</v>
      </c>
      <c r="B552" s="3" t="str">
        <f>"00067075"</f>
        <v>00067075</v>
      </c>
    </row>
    <row r="553" spans="1:2" x14ac:dyDescent="0.25">
      <c r="A553" s="3">
        <v>548</v>
      </c>
      <c r="B553" s="3" t="str">
        <f>"00068288"</f>
        <v>00068288</v>
      </c>
    </row>
    <row r="554" spans="1:2" x14ac:dyDescent="0.25">
      <c r="A554" s="3">
        <v>549</v>
      </c>
      <c r="B554" s="3" t="str">
        <f>"00068855"</f>
        <v>00068855</v>
      </c>
    </row>
    <row r="555" spans="1:2" x14ac:dyDescent="0.25">
      <c r="A555" s="3">
        <v>550</v>
      </c>
      <c r="B555" s="3" t="str">
        <f>"00068961"</f>
        <v>00068961</v>
      </c>
    </row>
    <row r="556" spans="1:2" x14ac:dyDescent="0.25">
      <c r="A556" s="3">
        <v>551</v>
      </c>
      <c r="B556" s="3" t="str">
        <f>"00069285"</f>
        <v>00069285</v>
      </c>
    </row>
    <row r="557" spans="1:2" x14ac:dyDescent="0.25">
      <c r="A557" s="3">
        <v>552</v>
      </c>
      <c r="B557" s="3" t="str">
        <f>"00069287"</f>
        <v>00069287</v>
      </c>
    </row>
    <row r="558" spans="1:2" x14ac:dyDescent="0.25">
      <c r="A558" s="3">
        <v>553</v>
      </c>
      <c r="B558" s="3" t="str">
        <f>"00069306"</f>
        <v>00069306</v>
      </c>
    </row>
    <row r="559" spans="1:2" x14ac:dyDescent="0.25">
      <c r="A559" s="3">
        <v>554</v>
      </c>
      <c r="B559" s="3" t="str">
        <f>"00069397"</f>
        <v>00069397</v>
      </c>
    </row>
    <row r="560" spans="1:2" x14ac:dyDescent="0.25">
      <c r="A560" s="3">
        <v>555</v>
      </c>
      <c r="B560" s="3" t="str">
        <f>"00069409"</f>
        <v>00069409</v>
      </c>
    </row>
    <row r="561" spans="1:2" x14ac:dyDescent="0.25">
      <c r="A561" s="3">
        <v>556</v>
      </c>
      <c r="B561" s="3" t="str">
        <f>"00069466"</f>
        <v>00069466</v>
      </c>
    </row>
    <row r="562" spans="1:2" x14ac:dyDescent="0.25">
      <c r="A562" s="3">
        <v>557</v>
      </c>
      <c r="B562" s="3" t="str">
        <f>"00069522"</f>
        <v>00069522</v>
      </c>
    </row>
    <row r="563" spans="1:2" x14ac:dyDescent="0.25">
      <c r="A563" s="3">
        <v>558</v>
      </c>
      <c r="B563" s="3" t="str">
        <f>"00069865"</f>
        <v>00069865</v>
      </c>
    </row>
    <row r="564" spans="1:2" x14ac:dyDescent="0.25">
      <c r="A564" s="3">
        <v>559</v>
      </c>
      <c r="B564" s="3" t="str">
        <f>"00070043"</f>
        <v>00070043</v>
      </c>
    </row>
    <row r="565" spans="1:2" x14ac:dyDescent="0.25">
      <c r="A565" s="3">
        <v>560</v>
      </c>
      <c r="B565" s="3" t="str">
        <f>"00070114"</f>
        <v>00070114</v>
      </c>
    </row>
    <row r="566" spans="1:2" x14ac:dyDescent="0.25">
      <c r="A566" s="3">
        <v>561</v>
      </c>
      <c r="B566" s="3" t="str">
        <f>"00070124"</f>
        <v>00070124</v>
      </c>
    </row>
    <row r="567" spans="1:2" x14ac:dyDescent="0.25">
      <c r="A567" s="3">
        <v>562</v>
      </c>
      <c r="B567" s="3" t="str">
        <f>"00070140"</f>
        <v>00070140</v>
      </c>
    </row>
    <row r="568" spans="1:2" x14ac:dyDescent="0.25">
      <c r="A568" s="3">
        <v>563</v>
      </c>
      <c r="B568" s="3" t="str">
        <f>"00070197"</f>
        <v>00070197</v>
      </c>
    </row>
    <row r="569" spans="1:2" x14ac:dyDescent="0.25">
      <c r="A569" s="3">
        <v>564</v>
      </c>
      <c r="B569" s="3" t="str">
        <f>"00070296"</f>
        <v>00070296</v>
      </c>
    </row>
    <row r="570" spans="1:2" x14ac:dyDescent="0.25">
      <c r="A570" s="3">
        <v>565</v>
      </c>
      <c r="B570" s="3" t="str">
        <f>"00070556"</f>
        <v>00070556</v>
      </c>
    </row>
    <row r="571" spans="1:2" x14ac:dyDescent="0.25">
      <c r="A571" s="3">
        <v>566</v>
      </c>
      <c r="B571" s="3" t="str">
        <f>"00070895"</f>
        <v>00070895</v>
      </c>
    </row>
    <row r="572" spans="1:2" x14ac:dyDescent="0.25">
      <c r="A572" s="3">
        <v>567</v>
      </c>
      <c r="B572" s="3" t="str">
        <f>"00071001"</f>
        <v>00071001</v>
      </c>
    </row>
    <row r="573" spans="1:2" x14ac:dyDescent="0.25">
      <c r="A573" s="3">
        <v>568</v>
      </c>
      <c r="B573" s="3" t="str">
        <f>"00071123"</f>
        <v>00071123</v>
      </c>
    </row>
    <row r="574" spans="1:2" x14ac:dyDescent="0.25">
      <c r="A574" s="3">
        <v>569</v>
      </c>
      <c r="B574" s="3" t="str">
        <f>"00071416"</f>
        <v>00071416</v>
      </c>
    </row>
    <row r="575" spans="1:2" x14ac:dyDescent="0.25">
      <c r="A575" s="3">
        <v>570</v>
      </c>
      <c r="B575" s="3" t="str">
        <f>"00071591"</f>
        <v>00071591</v>
      </c>
    </row>
    <row r="576" spans="1:2" x14ac:dyDescent="0.25">
      <c r="A576" s="3">
        <v>571</v>
      </c>
      <c r="B576" s="3" t="str">
        <f>"00071764"</f>
        <v>00071764</v>
      </c>
    </row>
    <row r="577" spans="1:2" x14ac:dyDescent="0.25">
      <c r="A577" s="3">
        <v>572</v>
      </c>
      <c r="B577" s="3" t="str">
        <f>"00072117"</f>
        <v>00072117</v>
      </c>
    </row>
    <row r="578" spans="1:2" x14ac:dyDescent="0.25">
      <c r="A578" s="3">
        <v>573</v>
      </c>
      <c r="B578" s="3" t="str">
        <f>"00072708"</f>
        <v>00072708</v>
      </c>
    </row>
    <row r="579" spans="1:2" x14ac:dyDescent="0.25">
      <c r="A579" s="3">
        <v>574</v>
      </c>
      <c r="B579" s="3" t="str">
        <f>"00072804"</f>
        <v>00072804</v>
      </c>
    </row>
    <row r="580" spans="1:2" x14ac:dyDescent="0.25">
      <c r="A580" s="3">
        <v>575</v>
      </c>
      <c r="B580" s="3" t="str">
        <f>"00072876"</f>
        <v>00072876</v>
      </c>
    </row>
    <row r="581" spans="1:2" x14ac:dyDescent="0.25">
      <c r="A581" s="3">
        <v>576</v>
      </c>
      <c r="B581" s="3" t="str">
        <f>"00072894"</f>
        <v>00072894</v>
      </c>
    </row>
    <row r="582" spans="1:2" x14ac:dyDescent="0.25">
      <c r="A582" s="3">
        <v>577</v>
      </c>
      <c r="B582" s="3" t="str">
        <f>"00072896"</f>
        <v>00072896</v>
      </c>
    </row>
    <row r="583" spans="1:2" x14ac:dyDescent="0.25">
      <c r="A583" s="3">
        <v>578</v>
      </c>
      <c r="B583" s="3" t="str">
        <f>"00072906"</f>
        <v>00072906</v>
      </c>
    </row>
    <row r="584" spans="1:2" x14ac:dyDescent="0.25">
      <c r="A584" s="3">
        <v>579</v>
      </c>
      <c r="B584" s="3" t="str">
        <f>"00072931"</f>
        <v>00072931</v>
      </c>
    </row>
    <row r="585" spans="1:2" x14ac:dyDescent="0.25">
      <c r="A585" s="3">
        <v>580</v>
      </c>
      <c r="B585" s="3" t="str">
        <f>"00072945"</f>
        <v>00072945</v>
      </c>
    </row>
    <row r="586" spans="1:2" x14ac:dyDescent="0.25">
      <c r="A586" s="3">
        <v>581</v>
      </c>
      <c r="B586" s="3" t="str">
        <f>"00073020"</f>
        <v>00073020</v>
      </c>
    </row>
    <row r="587" spans="1:2" x14ac:dyDescent="0.25">
      <c r="A587" s="3">
        <v>582</v>
      </c>
      <c r="B587" s="3" t="str">
        <f>"00073218"</f>
        <v>00073218</v>
      </c>
    </row>
    <row r="588" spans="1:2" x14ac:dyDescent="0.25">
      <c r="A588" s="3">
        <v>583</v>
      </c>
      <c r="B588" s="3" t="str">
        <f>"00073285"</f>
        <v>00073285</v>
      </c>
    </row>
    <row r="589" spans="1:2" x14ac:dyDescent="0.25">
      <c r="A589" s="3">
        <v>584</v>
      </c>
      <c r="B589" s="3" t="str">
        <f>"00073344"</f>
        <v>00073344</v>
      </c>
    </row>
    <row r="590" spans="1:2" x14ac:dyDescent="0.25">
      <c r="A590" s="3">
        <v>585</v>
      </c>
      <c r="B590" s="3" t="str">
        <f>"00073358"</f>
        <v>00073358</v>
      </c>
    </row>
    <row r="591" spans="1:2" x14ac:dyDescent="0.25">
      <c r="A591" s="3">
        <v>586</v>
      </c>
      <c r="B591" s="3" t="str">
        <f>"00073432"</f>
        <v>00073432</v>
      </c>
    </row>
    <row r="592" spans="1:2" x14ac:dyDescent="0.25">
      <c r="A592" s="3">
        <v>587</v>
      </c>
      <c r="B592" s="3" t="str">
        <f>"00073522"</f>
        <v>00073522</v>
      </c>
    </row>
    <row r="593" spans="1:2" x14ac:dyDescent="0.25">
      <c r="A593" s="3">
        <v>588</v>
      </c>
      <c r="B593" s="3" t="str">
        <f>"00073562"</f>
        <v>00073562</v>
      </c>
    </row>
    <row r="594" spans="1:2" x14ac:dyDescent="0.25">
      <c r="A594" s="3">
        <v>589</v>
      </c>
      <c r="B594" s="3" t="str">
        <f>"00073637"</f>
        <v>00073637</v>
      </c>
    </row>
    <row r="595" spans="1:2" x14ac:dyDescent="0.25">
      <c r="A595" s="3">
        <v>590</v>
      </c>
      <c r="B595" s="3" t="str">
        <f>"00073791"</f>
        <v>00073791</v>
      </c>
    </row>
    <row r="596" spans="1:2" x14ac:dyDescent="0.25">
      <c r="A596" s="3">
        <v>591</v>
      </c>
      <c r="B596" s="3" t="str">
        <f>"00073919"</f>
        <v>00073919</v>
      </c>
    </row>
    <row r="597" spans="1:2" x14ac:dyDescent="0.25">
      <c r="A597" s="3">
        <v>592</v>
      </c>
      <c r="B597" s="3" t="str">
        <f>"00073932"</f>
        <v>00073932</v>
      </c>
    </row>
    <row r="598" spans="1:2" x14ac:dyDescent="0.25">
      <c r="A598" s="3">
        <v>593</v>
      </c>
      <c r="B598" s="3" t="str">
        <f>"00074025"</f>
        <v>00074025</v>
      </c>
    </row>
    <row r="599" spans="1:2" x14ac:dyDescent="0.25">
      <c r="A599" s="3">
        <v>594</v>
      </c>
      <c r="B599" s="3" t="str">
        <f>"00074089"</f>
        <v>00074089</v>
      </c>
    </row>
    <row r="600" spans="1:2" x14ac:dyDescent="0.25">
      <c r="A600" s="3">
        <v>595</v>
      </c>
      <c r="B600" s="3" t="str">
        <f>"00074659"</f>
        <v>00074659</v>
      </c>
    </row>
    <row r="601" spans="1:2" x14ac:dyDescent="0.25">
      <c r="A601" s="3">
        <v>596</v>
      </c>
      <c r="B601" s="3" t="str">
        <f>"00074813"</f>
        <v>00074813</v>
      </c>
    </row>
    <row r="602" spans="1:2" x14ac:dyDescent="0.25">
      <c r="A602" s="3">
        <v>597</v>
      </c>
      <c r="B602" s="3" t="str">
        <f>"00074832"</f>
        <v>00074832</v>
      </c>
    </row>
    <row r="603" spans="1:2" x14ac:dyDescent="0.25">
      <c r="A603" s="3">
        <v>598</v>
      </c>
      <c r="B603" s="3" t="str">
        <f>"00074917"</f>
        <v>00074917</v>
      </c>
    </row>
    <row r="604" spans="1:2" x14ac:dyDescent="0.25">
      <c r="A604" s="3">
        <v>599</v>
      </c>
      <c r="B604" s="3" t="str">
        <f>"00074924"</f>
        <v>00074924</v>
      </c>
    </row>
    <row r="605" spans="1:2" x14ac:dyDescent="0.25">
      <c r="A605" s="3">
        <v>600</v>
      </c>
      <c r="B605" s="3" t="str">
        <f>"00074961"</f>
        <v>00074961</v>
      </c>
    </row>
    <row r="606" spans="1:2" x14ac:dyDescent="0.25">
      <c r="A606" s="3">
        <v>601</v>
      </c>
      <c r="B606" s="3" t="str">
        <f>"00074982"</f>
        <v>00074982</v>
      </c>
    </row>
    <row r="607" spans="1:2" x14ac:dyDescent="0.25">
      <c r="A607" s="3">
        <v>602</v>
      </c>
      <c r="B607" s="3" t="str">
        <f>"00075001"</f>
        <v>00075001</v>
      </c>
    </row>
    <row r="608" spans="1:2" x14ac:dyDescent="0.25">
      <c r="A608" s="3">
        <v>603</v>
      </c>
      <c r="B608" s="3" t="str">
        <f>"00075048"</f>
        <v>00075048</v>
      </c>
    </row>
    <row r="609" spans="1:2" x14ac:dyDescent="0.25">
      <c r="A609" s="3">
        <v>604</v>
      </c>
      <c r="B609" s="3" t="str">
        <f>"00075195"</f>
        <v>00075195</v>
      </c>
    </row>
    <row r="610" spans="1:2" x14ac:dyDescent="0.25">
      <c r="A610" s="3">
        <v>605</v>
      </c>
      <c r="B610" s="3" t="str">
        <f>"00075301"</f>
        <v>00075301</v>
      </c>
    </row>
    <row r="611" spans="1:2" x14ac:dyDescent="0.25">
      <c r="A611" s="3">
        <v>606</v>
      </c>
      <c r="B611" s="3" t="str">
        <f>"00075316"</f>
        <v>00075316</v>
      </c>
    </row>
    <row r="612" spans="1:2" x14ac:dyDescent="0.25">
      <c r="A612" s="3">
        <v>607</v>
      </c>
      <c r="B612" s="3" t="str">
        <f>"00075318"</f>
        <v>00075318</v>
      </c>
    </row>
    <row r="613" spans="1:2" x14ac:dyDescent="0.25">
      <c r="A613" s="3">
        <v>608</v>
      </c>
      <c r="B613" s="3" t="str">
        <f>"00075340"</f>
        <v>00075340</v>
      </c>
    </row>
    <row r="614" spans="1:2" x14ac:dyDescent="0.25">
      <c r="A614" s="3">
        <v>609</v>
      </c>
      <c r="B614" s="3" t="str">
        <f>"00075347"</f>
        <v>00075347</v>
      </c>
    </row>
    <row r="615" spans="1:2" x14ac:dyDescent="0.25">
      <c r="A615" s="3">
        <v>610</v>
      </c>
      <c r="B615" s="3" t="str">
        <f>"00075447"</f>
        <v>00075447</v>
      </c>
    </row>
    <row r="616" spans="1:2" x14ac:dyDescent="0.25">
      <c r="A616" s="3">
        <v>611</v>
      </c>
      <c r="B616" s="3" t="str">
        <f>"00075480"</f>
        <v>00075480</v>
      </c>
    </row>
    <row r="617" spans="1:2" x14ac:dyDescent="0.25">
      <c r="A617" s="3">
        <v>612</v>
      </c>
      <c r="B617" s="3" t="str">
        <f>"00075523"</f>
        <v>00075523</v>
      </c>
    </row>
    <row r="618" spans="1:2" x14ac:dyDescent="0.25">
      <c r="A618" s="3">
        <v>613</v>
      </c>
      <c r="B618" s="3" t="str">
        <f>"00075549"</f>
        <v>00075549</v>
      </c>
    </row>
    <row r="619" spans="1:2" x14ac:dyDescent="0.25">
      <c r="A619" s="3">
        <v>614</v>
      </c>
      <c r="B619" s="3" t="str">
        <f>"00075636"</f>
        <v>00075636</v>
      </c>
    </row>
    <row r="620" spans="1:2" x14ac:dyDescent="0.25">
      <c r="A620" s="3">
        <v>615</v>
      </c>
      <c r="B620" s="3" t="str">
        <f>"00075721"</f>
        <v>00075721</v>
      </c>
    </row>
    <row r="621" spans="1:2" x14ac:dyDescent="0.25">
      <c r="A621" s="3">
        <v>616</v>
      </c>
      <c r="B621" s="3" t="str">
        <f>"00075748"</f>
        <v>00075748</v>
      </c>
    </row>
    <row r="622" spans="1:2" x14ac:dyDescent="0.25">
      <c r="A622" s="3">
        <v>617</v>
      </c>
      <c r="B622" s="3" t="str">
        <f>"00075808"</f>
        <v>00075808</v>
      </c>
    </row>
    <row r="623" spans="1:2" x14ac:dyDescent="0.25">
      <c r="A623" s="3">
        <v>618</v>
      </c>
      <c r="B623" s="3" t="str">
        <f>"00076074"</f>
        <v>00076074</v>
      </c>
    </row>
    <row r="624" spans="1:2" x14ac:dyDescent="0.25">
      <c r="A624" s="3">
        <v>619</v>
      </c>
      <c r="B624" s="3" t="str">
        <f>"00076200"</f>
        <v>00076200</v>
      </c>
    </row>
    <row r="625" spans="1:2" x14ac:dyDescent="0.25">
      <c r="A625" s="3">
        <v>620</v>
      </c>
      <c r="B625" s="3" t="str">
        <f>"00076473"</f>
        <v>00076473</v>
      </c>
    </row>
    <row r="626" spans="1:2" x14ac:dyDescent="0.25">
      <c r="A626" s="3">
        <v>621</v>
      </c>
      <c r="B626" s="3" t="str">
        <f>"00076572"</f>
        <v>00076572</v>
      </c>
    </row>
    <row r="627" spans="1:2" x14ac:dyDescent="0.25">
      <c r="A627" s="3">
        <v>622</v>
      </c>
      <c r="B627" s="3" t="str">
        <f>"00076812"</f>
        <v>00076812</v>
      </c>
    </row>
    <row r="628" spans="1:2" x14ac:dyDescent="0.25">
      <c r="A628" s="3">
        <v>623</v>
      </c>
      <c r="B628" s="3" t="str">
        <f>"00077074"</f>
        <v>00077074</v>
      </c>
    </row>
    <row r="629" spans="1:2" x14ac:dyDescent="0.25">
      <c r="A629" s="3">
        <v>624</v>
      </c>
      <c r="B629" s="3" t="str">
        <f>"00077095"</f>
        <v>00077095</v>
      </c>
    </row>
    <row r="630" spans="1:2" x14ac:dyDescent="0.25">
      <c r="A630" s="3">
        <v>625</v>
      </c>
      <c r="B630" s="3" t="str">
        <f>"00077099"</f>
        <v>00077099</v>
      </c>
    </row>
    <row r="631" spans="1:2" x14ac:dyDescent="0.25">
      <c r="A631" s="3">
        <v>626</v>
      </c>
      <c r="B631" s="3" t="str">
        <f>"00077166"</f>
        <v>00077166</v>
      </c>
    </row>
    <row r="632" spans="1:2" x14ac:dyDescent="0.25">
      <c r="A632" s="3">
        <v>627</v>
      </c>
      <c r="B632" s="3" t="str">
        <f>"00077386"</f>
        <v>00077386</v>
      </c>
    </row>
    <row r="633" spans="1:2" x14ac:dyDescent="0.25">
      <c r="A633" s="3">
        <v>628</v>
      </c>
      <c r="B633" s="3" t="str">
        <f>"00077483"</f>
        <v>00077483</v>
      </c>
    </row>
    <row r="634" spans="1:2" x14ac:dyDescent="0.25">
      <c r="A634" s="3">
        <v>629</v>
      </c>
      <c r="B634" s="3" t="str">
        <f>"00077613"</f>
        <v>00077613</v>
      </c>
    </row>
    <row r="635" spans="1:2" x14ac:dyDescent="0.25">
      <c r="A635" s="3">
        <v>630</v>
      </c>
      <c r="B635" s="3" t="str">
        <f>"00077809"</f>
        <v>00077809</v>
      </c>
    </row>
    <row r="636" spans="1:2" x14ac:dyDescent="0.25">
      <c r="A636" s="3">
        <v>631</v>
      </c>
      <c r="B636" s="3" t="str">
        <f>"00077811"</f>
        <v>00077811</v>
      </c>
    </row>
    <row r="637" spans="1:2" x14ac:dyDescent="0.25">
      <c r="A637" s="3">
        <v>632</v>
      </c>
      <c r="B637" s="3" t="str">
        <f>"00077925"</f>
        <v>00077925</v>
      </c>
    </row>
    <row r="638" spans="1:2" x14ac:dyDescent="0.25">
      <c r="A638" s="3">
        <v>633</v>
      </c>
      <c r="B638" s="3" t="str">
        <f>"00077990"</f>
        <v>00077990</v>
      </c>
    </row>
    <row r="639" spans="1:2" x14ac:dyDescent="0.25">
      <c r="A639" s="3">
        <v>634</v>
      </c>
      <c r="B639" s="3" t="str">
        <f>"00078323"</f>
        <v>00078323</v>
      </c>
    </row>
    <row r="640" spans="1:2" x14ac:dyDescent="0.25">
      <c r="A640" s="3">
        <v>635</v>
      </c>
      <c r="B640" s="3" t="str">
        <f>"00078337"</f>
        <v>00078337</v>
      </c>
    </row>
    <row r="641" spans="1:2" x14ac:dyDescent="0.25">
      <c r="A641" s="3">
        <v>636</v>
      </c>
      <c r="B641" s="3" t="str">
        <f>"00078338"</f>
        <v>00078338</v>
      </c>
    </row>
    <row r="642" spans="1:2" x14ac:dyDescent="0.25">
      <c r="A642" s="3">
        <v>637</v>
      </c>
      <c r="B642" s="3" t="str">
        <f>"00078766"</f>
        <v>00078766</v>
      </c>
    </row>
    <row r="643" spans="1:2" x14ac:dyDescent="0.25">
      <c r="A643" s="3">
        <v>638</v>
      </c>
      <c r="B643" s="3" t="str">
        <f>"00078812"</f>
        <v>00078812</v>
      </c>
    </row>
    <row r="644" spans="1:2" x14ac:dyDescent="0.25">
      <c r="A644" s="3">
        <v>639</v>
      </c>
      <c r="B644" s="3" t="str">
        <f>"00079008"</f>
        <v>00079008</v>
      </c>
    </row>
    <row r="645" spans="1:2" x14ac:dyDescent="0.25">
      <c r="A645" s="3">
        <v>640</v>
      </c>
      <c r="B645" s="3" t="str">
        <f>"00079040"</f>
        <v>00079040</v>
      </c>
    </row>
    <row r="646" spans="1:2" x14ac:dyDescent="0.25">
      <c r="A646" s="3">
        <v>641</v>
      </c>
      <c r="B646" s="3" t="str">
        <f>"00079180"</f>
        <v>00079180</v>
      </c>
    </row>
    <row r="647" spans="1:2" x14ac:dyDescent="0.25">
      <c r="A647" s="3">
        <v>642</v>
      </c>
      <c r="B647" s="3" t="str">
        <f>"00079294"</f>
        <v>00079294</v>
      </c>
    </row>
    <row r="648" spans="1:2" x14ac:dyDescent="0.25">
      <c r="A648" s="3">
        <v>643</v>
      </c>
      <c r="B648" s="3" t="str">
        <f>"00079366"</f>
        <v>00079366</v>
      </c>
    </row>
    <row r="649" spans="1:2" x14ac:dyDescent="0.25">
      <c r="A649" s="3">
        <v>644</v>
      </c>
      <c r="B649" s="3" t="str">
        <f>"00079434"</f>
        <v>00079434</v>
      </c>
    </row>
    <row r="650" spans="1:2" x14ac:dyDescent="0.25">
      <c r="A650" s="3">
        <v>645</v>
      </c>
      <c r="B650" s="3" t="str">
        <f>"00079494"</f>
        <v>00079494</v>
      </c>
    </row>
    <row r="651" spans="1:2" x14ac:dyDescent="0.25">
      <c r="A651" s="3">
        <v>646</v>
      </c>
      <c r="B651" s="3" t="str">
        <f>"00079598"</f>
        <v>00079598</v>
      </c>
    </row>
    <row r="652" spans="1:2" x14ac:dyDescent="0.25">
      <c r="A652" s="3">
        <v>647</v>
      </c>
      <c r="B652" s="3" t="str">
        <f>"00079616"</f>
        <v>00079616</v>
      </c>
    </row>
    <row r="653" spans="1:2" x14ac:dyDescent="0.25">
      <c r="A653" s="3">
        <v>648</v>
      </c>
      <c r="B653" s="3" t="str">
        <f>"00079679"</f>
        <v>00079679</v>
      </c>
    </row>
    <row r="654" spans="1:2" x14ac:dyDescent="0.25">
      <c r="A654" s="3">
        <v>649</v>
      </c>
      <c r="B654" s="3" t="str">
        <f>"00079701"</f>
        <v>00079701</v>
      </c>
    </row>
    <row r="655" spans="1:2" x14ac:dyDescent="0.25">
      <c r="A655" s="3">
        <v>650</v>
      </c>
      <c r="B655" s="3" t="str">
        <f>"00079785"</f>
        <v>00079785</v>
      </c>
    </row>
    <row r="656" spans="1:2" x14ac:dyDescent="0.25">
      <c r="A656" s="3">
        <v>651</v>
      </c>
      <c r="B656" s="3" t="str">
        <f>"00079990"</f>
        <v>00079990</v>
      </c>
    </row>
    <row r="657" spans="1:2" x14ac:dyDescent="0.25">
      <c r="A657" s="3">
        <v>652</v>
      </c>
      <c r="B657" s="3" t="str">
        <f>"00080282"</f>
        <v>00080282</v>
      </c>
    </row>
    <row r="658" spans="1:2" x14ac:dyDescent="0.25">
      <c r="A658" s="3">
        <v>653</v>
      </c>
      <c r="B658" s="3" t="str">
        <f>"00080490"</f>
        <v>00080490</v>
      </c>
    </row>
    <row r="659" spans="1:2" x14ac:dyDescent="0.25">
      <c r="A659" s="3">
        <v>654</v>
      </c>
      <c r="B659" s="3" t="str">
        <f>"00080521"</f>
        <v>00080521</v>
      </c>
    </row>
    <row r="660" spans="1:2" x14ac:dyDescent="0.25">
      <c r="A660" s="3">
        <v>655</v>
      </c>
      <c r="B660" s="3" t="str">
        <f>"00080846"</f>
        <v>00080846</v>
      </c>
    </row>
    <row r="661" spans="1:2" x14ac:dyDescent="0.25">
      <c r="A661" s="3">
        <v>656</v>
      </c>
      <c r="B661" s="3" t="str">
        <f>"00080881"</f>
        <v>00080881</v>
      </c>
    </row>
    <row r="662" spans="1:2" x14ac:dyDescent="0.25">
      <c r="A662" s="3">
        <v>657</v>
      </c>
      <c r="B662" s="3" t="str">
        <f>"00080907"</f>
        <v>00080907</v>
      </c>
    </row>
    <row r="663" spans="1:2" x14ac:dyDescent="0.25">
      <c r="A663" s="3">
        <v>658</v>
      </c>
      <c r="B663" s="3" t="str">
        <f>"00080919"</f>
        <v>00080919</v>
      </c>
    </row>
    <row r="664" spans="1:2" x14ac:dyDescent="0.25">
      <c r="A664" s="3">
        <v>659</v>
      </c>
      <c r="B664" s="3" t="str">
        <f>"00081326"</f>
        <v>00081326</v>
      </c>
    </row>
    <row r="665" spans="1:2" x14ac:dyDescent="0.25">
      <c r="A665" s="3">
        <v>660</v>
      </c>
      <c r="B665" s="3" t="str">
        <f>"00081656"</f>
        <v>00081656</v>
      </c>
    </row>
    <row r="666" spans="1:2" x14ac:dyDescent="0.25">
      <c r="A666" s="3">
        <v>661</v>
      </c>
      <c r="B666" s="3" t="str">
        <f>"00081926"</f>
        <v>00081926</v>
      </c>
    </row>
    <row r="667" spans="1:2" x14ac:dyDescent="0.25">
      <c r="A667" s="3">
        <v>662</v>
      </c>
      <c r="B667" s="3" t="str">
        <f>"00082162"</f>
        <v>00082162</v>
      </c>
    </row>
    <row r="668" spans="1:2" x14ac:dyDescent="0.25">
      <c r="A668" s="3">
        <v>663</v>
      </c>
      <c r="B668" s="3" t="str">
        <f>"00082164"</f>
        <v>00082164</v>
      </c>
    </row>
    <row r="669" spans="1:2" x14ac:dyDescent="0.25">
      <c r="A669" s="3">
        <v>664</v>
      </c>
      <c r="B669" s="3" t="str">
        <f>"00082806"</f>
        <v>00082806</v>
      </c>
    </row>
    <row r="670" spans="1:2" x14ac:dyDescent="0.25">
      <c r="A670" s="3">
        <v>665</v>
      </c>
      <c r="B670" s="3" t="str">
        <f>"00082862"</f>
        <v>00082862</v>
      </c>
    </row>
    <row r="671" spans="1:2" x14ac:dyDescent="0.25">
      <c r="A671" s="3">
        <v>666</v>
      </c>
      <c r="B671" s="3" t="str">
        <f>"00082954"</f>
        <v>00082954</v>
      </c>
    </row>
    <row r="672" spans="1:2" x14ac:dyDescent="0.25">
      <c r="A672" s="3">
        <v>667</v>
      </c>
      <c r="B672" s="3" t="str">
        <f>"00082977"</f>
        <v>00082977</v>
      </c>
    </row>
    <row r="673" spans="1:2" x14ac:dyDescent="0.25">
      <c r="A673" s="3">
        <v>668</v>
      </c>
      <c r="B673" s="3" t="str">
        <f>"00082983"</f>
        <v>00082983</v>
      </c>
    </row>
    <row r="674" spans="1:2" x14ac:dyDescent="0.25">
      <c r="A674" s="3">
        <v>669</v>
      </c>
      <c r="B674" s="3" t="str">
        <f>"00083388"</f>
        <v>00083388</v>
      </c>
    </row>
    <row r="675" spans="1:2" x14ac:dyDescent="0.25">
      <c r="A675" s="3">
        <v>670</v>
      </c>
      <c r="B675" s="3" t="str">
        <f>"00083426"</f>
        <v>00083426</v>
      </c>
    </row>
    <row r="676" spans="1:2" x14ac:dyDescent="0.25">
      <c r="A676" s="3">
        <v>671</v>
      </c>
      <c r="B676" s="3" t="str">
        <f>"00083484"</f>
        <v>00083484</v>
      </c>
    </row>
    <row r="677" spans="1:2" x14ac:dyDescent="0.25">
      <c r="A677" s="3">
        <v>672</v>
      </c>
      <c r="B677" s="3" t="str">
        <f>"00083489"</f>
        <v>00083489</v>
      </c>
    </row>
    <row r="678" spans="1:2" x14ac:dyDescent="0.25">
      <c r="A678" s="3">
        <v>673</v>
      </c>
      <c r="B678" s="3" t="str">
        <f>"00083984"</f>
        <v>00083984</v>
      </c>
    </row>
    <row r="679" spans="1:2" x14ac:dyDescent="0.25">
      <c r="A679" s="3">
        <v>674</v>
      </c>
      <c r="B679" s="3" t="str">
        <f>"00084061"</f>
        <v>00084061</v>
      </c>
    </row>
    <row r="680" spans="1:2" x14ac:dyDescent="0.25">
      <c r="A680" s="3">
        <v>675</v>
      </c>
      <c r="B680" s="3" t="str">
        <f>"00084069"</f>
        <v>00084069</v>
      </c>
    </row>
    <row r="681" spans="1:2" x14ac:dyDescent="0.25">
      <c r="A681" s="3">
        <v>676</v>
      </c>
      <c r="B681" s="3" t="str">
        <f>"00084221"</f>
        <v>00084221</v>
      </c>
    </row>
    <row r="682" spans="1:2" x14ac:dyDescent="0.25">
      <c r="A682" s="3">
        <v>677</v>
      </c>
      <c r="B682" s="3" t="str">
        <f>"00084558"</f>
        <v>00084558</v>
      </c>
    </row>
    <row r="683" spans="1:2" x14ac:dyDescent="0.25">
      <c r="A683" s="3">
        <v>678</v>
      </c>
      <c r="B683" s="3" t="str">
        <f>"00084723"</f>
        <v>00084723</v>
      </c>
    </row>
    <row r="684" spans="1:2" x14ac:dyDescent="0.25">
      <c r="A684" s="3">
        <v>679</v>
      </c>
      <c r="B684" s="3" t="str">
        <f>"00084890"</f>
        <v>00084890</v>
      </c>
    </row>
    <row r="685" spans="1:2" x14ac:dyDescent="0.25">
      <c r="A685" s="3">
        <v>680</v>
      </c>
      <c r="B685" s="3" t="str">
        <f>"00085574"</f>
        <v>00085574</v>
      </c>
    </row>
    <row r="686" spans="1:2" x14ac:dyDescent="0.25">
      <c r="A686" s="3">
        <v>681</v>
      </c>
      <c r="B686" s="3" t="str">
        <f>"00085679"</f>
        <v>00085679</v>
      </c>
    </row>
    <row r="687" spans="1:2" x14ac:dyDescent="0.25">
      <c r="A687" s="3">
        <v>682</v>
      </c>
      <c r="B687" s="3" t="str">
        <f>"00085693"</f>
        <v>00085693</v>
      </c>
    </row>
    <row r="688" spans="1:2" x14ac:dyDescent="0.25">
      <c r="A688" s="3">
        <v>683</v>
      </c>
      <c r="B688" s="3" t="str">
        <f>"00085726"</f>
        <v>00085726</v>
      </c>
    </row>
    <row r="689" spans="1:2" x14ac:dyDescent="0.25">
      <c r="A689" s="3">
        <v>684</v>
      </c>
      <c r="B689" s="3" t="str">
        <f>"00085746"</f>
        <v>00085746</v>
      </c>
    </row>
    <row r="690" spans="1:2" x14ac:dyDescent="0.25">
      <c r="A690" s="3">
        <v>685</v>
      </c>
      <c r="B690" s="3" t="str">
        <f>"00085779"</f>
        <v>00085779</v>
      </c>
    </row>
    <row r="691" spans="1:2" x14ac:dyDescent="0.25">
      <c r="A691" s="3">
        <v>686</v>
      </c>
      <c r="B691" s="3" t="str">
        <f>"00085845"</f>
        <v>00085845</v>
      </c>
    </row>
    <row r="692" spans="1:2" x14ac:dyDescent="0.25">
      <c r="A692" s="3">
        <v>687</v>
      </c>
      <c r="B692" s="3" t="str">
        <f>"00085923"</f>
        <v>00085923</v>
      </c>
    </row>
    <row r="693" spans="1:2" x14ac:dyDescent="0.25">
      <c r="A693" s="3">
        <v>688</v>
      </c>
      <c r="B693" s="3" t="str">
        <f>"00085928"</f>
        <v>00085928</v>
      </c>
    </row>
    <row r="694" spans="1:2" x14ac:dyDescent="0.25">
      <c r="A694" s="3">
        <v>689</v>
      </c>
      <c r="B694" s="3" t="str">
        <f>"00086050"</f>
        <v>00086050</v>
      </c>
    </row>
    <row r="695" spans="1:2" x14ac:dyDescent="0.25">
      <c r="A695" s="3">
        <v>690</v>
      </c>
      <c r="B695" s="3" t="str">
        <f>"00086391"</f>
        <v>00086391</v>
      </c>
    </row>
    <row r="696" spans="1:2" x14ac:dyDescent="0.25">
      <c r="A696" s="3">
        <v>691</v>
      </c>
      <c r="B696" s="3" t="str">
        <f>"00086411"</f>
        <v>00086411</v>
      </c>
    </row>
    <row r="697" spans="1:2" x14ac:dyDescent="0.25">
      <c r="A697" s="3">
        <v>692</v>
      </c>
      <c r="B697" s="3" t="str">
        <f>"00086516"</f>
        <v>00086516</v>
      </c>
    </row>
    <row r="698" spans="1:2" x14ac:dyDescent="0.25">
      <c r="A698" s="3">
        <v>693</v>
      </c>
      <c r="B698" s="3" t="str">
        <f>"00086538"</f>
        <v>00086538</v>
      </c>
    </row>
    <row r="699" spans="1:2" x14ac:dyDescent="0.25">
      <c r="A699" s="3">
        <v>694</v>
      </c>
      <c r="B699" s="3" t="str">
        <f>"00086541"</f>
        <v>00086541</v>
      </c>
    </row>
    <row r="700" spans="1:2" x14ac:dyDescent="0.25">
      <c r="A700" s="3">
        <v>695</v>
      </c>
      <c r="B700" s="3" t="str">
        <f>"00086710"</f>
        <v>00086710</v>
      </c>
    </row>
    <row r="701" spans="1:2" x14ac:dyDescent="0.25">
      <c r="A701" s="3">
        <v>696</v>
      </c>
      <c r="B701" s="3" t="str">
        <f>"00086761"</f>
        <v>00086761</v>
      </c>
    </row>
    <row r="702" spans="1:2" x14ac:dyDescent="0.25">
      <c r="A702" s="3">
        <v>697</v>
      </c>
      <c r="B702" s="3" t="str">
        <f>"00086843"</f>
        <v>00086843</v>
      </c>
    </row>
    <row r="703" spans="1:2" x14ac:dyDescent="0.25">
      <c r="A703" s="3">
        <v>698</v>
      </c>
      <c r="B703" s="3" t="str">
        <f>"00086942"</f>
        <v>00086942</v>
      </c>
    </row>
    <row r="704" spans="1:2" x14ac:dyDescent="0.25">
      <c r="A704" s="3">
        <v>699</v>
      </c>
      <c r="B704" s="3" t="str">
        <f>"00086952"</f>
        <v>00086952</v>
      </c>
    </row>
    <row r="705" spans="1:2" x14ac:dyDescent="0.25">
      <c r="A705" s="3">
        <v>700</v>
      </c>
      <c r="B705" s="3" t="str">
        <f>"00087016"</f>
        <v>00087016</v>
      </c>
    </row>
    <row r="706" spans="1:2" x14ac:dyDescent="0.25">
      <c r="A706" s="3">
        <v>701</v>
      </c>
      <c r="B706" s="3" t="str">
        <f>"00087024"</f>
        <v>00087024</v>
      </c>
    </row>
    <row r="707" spans="1:2" x14ac:dyDescent="0.25">
      <c r="A707" s="3">
        <v>702</v>
      </c>
      <c r="B707" s="3" t="str">
        <f>"00087025"</f>
        <v>00087025</v>
      </c>
    </row>
    <row r="708" spans="1:2" x14ac:dyDescent="0.25">
      <c r="A708" s="3">
        <v>703</v>
      </c>
      <c r="B708" s="3" t="str">
        <f>"00087200"</f>
        <v>00087200</v>
      </c>
    </row>
    <row r="709" spans="1:2" x14ac:dyDescent="0.25">
      <c r="A709" s="3">
        <v>704</v>
      </c>
      <c r="B709" s="3" t="str">
        <f>"00087390"</f>
        <v>00087390</v>
      </c>
    </row>
    <row r="710" spans="1:2" x14ac:dyDescent="0.25">
      <c r="A710" s="3">
        <v>705</v>
      </c>
      <c r="B710" s="3" t="str">
        <f>"00087404"</f>
        <v>00087404</v>
      </c>
    </row>
    <row r="711" spans="1:2" x14ac:dyDescent="0.25">
      <c r="A711" s="3">
        <v>706</v>
      </c>
      <c r="B711" s="3" t="str">
        <f>"00087529"</f>
        <v>00087529</v>
      </c>
    </row>
    <row r="712" spans="1:2" x14ac:dyDescent="0.25">
      <c r="A712" s="3">
        <v>707</v>
      </c>
      <c r="B712" s="3" t="str">
        <f>"00087709"</f>
        <v>00087709</v>
      </c>
    </row>
    <row r="713" spans="1:2" x14ac:dyDescent="0.25">
      <c r="A713" s="3">
        <v>708</v>
      </c>
      <c r="B713" s="3" t="str">
        <f>"00087894"</f>
        <v>00087894</v>
      </c>
    </row>
    <row r="714" spans="1:2" x14ac:dyDescent="0.25">
      <c r="A714" s="3">
        <v>709</v>
      </c>
      <c r="B714" s="3" t="str">
        <f>"00087909"</f>
        <v>00087909</v>
      </c>
    </row>
    <row r="715" spans="1:2" x14ac:dyDescent="0.25">
      <c r="A715" s="3">
        <v>710</v>
      </c>
      <c r="B715" s="3" t="str">
        <f>"00088011"</f>
        <v>00088011</v>
      </c>
    </row>
    <row r="716" spans="1:2" x14ac:dyDescent="0.25">
      <c r="A716" s="3">
        <v>711</v>
      </c>
      <c r="B716" s="3" t="str">
        <f>"00088024"</f>
        <v>00088024</v>
      </c>
    </row>
    <row r="717" spans="1:2" x14ac:dyDescent="0.25">
      <c r="A717" s="3">
        <v>712</v>
      </c>
      <c r="B717" s="3" t="str">
        <f>"00088030"</f>
        <v>00088030</v>
      </c>
    </row>
    <row r="718" spans="1:2" x14ac:dyDescent="0.25">
      <c r="A718" s="3">
        <v>713</v>
      </c>
      <c r="B718" s="3" t="str">
        <f>"00088199"</f>
        <v>00088199</v>
      </c>
    </row>
    <row r="719" spans="1:2" x14ac:dyDescent="0.25">
      <c r="A719" s="3">
        <v>714</v>
      </c>
      <c r="B719" s="3" t="str">
        <f>"00088245"</f>
        <v>00088245</v>
      </c>
    </row>
    <row r="720" spans="1:2" x14ac:dyDescent="0.25">
      <c r="A720" s="3">
        <v>715</v>
      </c>
      <c r="B720" s="3" t="str">
        <f>"00088675"</f>
        <v>00088675</v>
      </c>
    </row>
    <row r="721" spans="1:2" x14ac:dyDescent="0.25">
      <c r="A721" s="3">
        <v>716</v>
      </c>
      <c r="B721" s="3" t="str">
        <f>"00088711"</f>
        <v>00088711</v>
      </c>
    </row>
    <row r="722" spans="1:2" x14ac:dyDescent="0.25">
      <c r="A722" s="3">
        <v>717</v>
      </c>
      <c r="B722" s="3" t="str">
        <f>"00088747"</f>
        <v>00088747</v>
      </c>
    </row>
    <row r="723" spans="1:2" x14ac:dyDescent="0.25">
      <c r="A723" s="3">
        <v>718</v>
      </c>
      <c r="B723" s="3" t="str">
        <f>"00088834"</f>
        <v>00088834</v>
      </c>
    </row>
    <row r="724" spans="1:2" x14ac:dyDescent="0.25">
      <c r="A724" s="3">
        <v>719</v>
      </c>
      <c r="B724" s="3" t="str">
        <f>"00088866"</f>
        <v>00088866</v>
      </c>
    </row>
    <row r="725" spans="1:2" x14ac:dyDescent="0.25">
      <c r="A725" s="3">
        <v>720</v>
      </c>
      <c r="B725" s="3" t="str">
        <f>"00088917"</f>
        <v>00088917</v>
      </c>
    </row>
    <row r="726" spans="1:2" x14ac:dyDescent="0.25">
      <c r="A726" s="3">
        <v>721</v>
      </c>
      <c r="B726" s="3" t="str">
        <f>"00088926"</f>
        <v>00088926</v>
      </c>
    </row>
    <row r="727" spans="1:2" x14ac:dyDescent="0.25">
      <c r="A727" s="3">
        <v>722</v>
      </c>
      <c r="B727" s="3" t="str">
        <f>"00089260"</f>
        <v>00089260</v>
      </c>
    </row>
    <row r="728" spans="1:2" x14ac:dyDescent="0.25">
      <c r="A728" s="3">
        <v>723</v>
      </c>
      <c r="B728" s="3" t="str">
        <f>"00089484"</f>
        <v>00089484</v>
      </c>
    </row>
    <row r="729" spans="1:2" x14ac:dyDescent="0.25">
      <c r="A729" s="3">
        <v>724</v>
      </c>
      <c r="B729" s="3" t="str">
        <f>"00089504"</f>
        <v>00089504</v>
      </c>
    </row>
    <row r="730" spans="1:2" x14ac:dyDescent="0.25">
      <c r="A730" s="3">
        <v>725</v>
      </c>
      <c r="B730" s="3" t="str">
        <f>"00089583"</f>
        <v>00089583</v>
      </c>
    </row>
    <row r="731" spans="1:2" x14ac:dyDescent="0.25">
      <c r="A731" s="3">
        <v>726</v>
      </c>
      <c r="B731" s="3" t="str">
        <f>"00089603"</f>
        <v>00089603</v>
      </c>
    </row>
    <row r="732" spans="1:2" x14ac:dyDescent="0.25">
      <c r="A732" s="3">
        <v>727</v>
      </c>
      <c r="B732" s="3" t="str">
        <f>"00089629"</f>
        <v>00089629</v>
      </c>
    </row>
    <row r="733" spans="1:2" x14ac:dyDescent="0.25">
      <c r="A733" s="3">
        <v>728</v>
      </c>
      <c r="B733" s="3" t="str">
        <f>"00089874"</f>
        <v>00089874</v>
      </c>
    </row>
    <row r="734" spans="1:2" x14ac:dyDescent="0.25">
      <c r="A734" s="3">
        <v>729</v>
      </c>
      <c r="B734" s="3" t="str">
        <f>"00090226"</f>
        <v>00090226</v>
      </c>
    </row>
    <row r="735" spans="1:2" x14ac:dyDescent="0.25">
      <c r="A735" s="3">
        <v>730</v>
      </c>
      <c r="B735" s="3" t="str">
        <f>"00090247"</f>
        <v>00090247</v>
      </c>
    </row>
    <row r="736" spans="1:2" x14ac:dyDescent="0.25">
      <c r="A736" s="3">
        <v>731</v>
      </c>
      <c r="B736" s="3" t="str">
        <f>"00091358"</f>
        <v>00091358</v>
      </c>
    </row>
    <row r="737" spans="1:2" x14ac:dyDescent="0.25">
      <c r="A737" s="3">
        <v>732</v>
      </c>
      <c r="B737" s="3" t="str">
        <f>"00091583"</f>
        <v>00091583</v>
      </c>
    </row>
    <row r="738" spans="1:2" x14ac:dyDescent="0.25">
      <c r="A738" s="3">
        <v>733</v>
      </c>
      <c r="B738" s="3" t="str">
        <f>"00091661"</f>
        <v>00091661</v>
      </c>
    </row>
    <row r="739" spans="1:2" x14ac:dyDescent="0.25">
      <c r="A739" s="3">
        <v>734</v>
      </c>
      <c r="B739" s="3" t="str">
        <f>"00091689"</f>
        <v>00091689</v>
      </c>
    </row>
    <row r="740" spans="1:2" x14ac:dyDescent="0.25">
      <c r="A740" s="3">
        <v>735</v>
      </c>
      <c r="B740" s="3" t="str">
        <f>"00091804"</f>
        <v>00091804</v>
      </c>
    </row>
    <row r="741" spans="1:2" x14ac:dyDescent="0.25">
      <c r="A741" s="3">
        <v>736</v>
      </c>
      <c r="B741" s="3" t="str">
        <f>"00092240"</f>
        <v>00092240</v>
      </c>
    </row>
    <row r="742" spans="1:2" x14ac:dyDescent="0.25">
      <c r="A742" s="3">
        <v>737</v>
      </c>
      <c r="B742" s="3" t="str">
        <f>"00092363"</f>
        <v>00092363</v>
      </c>
    </row>
    <row r="743" spans="1:2" x14ac:dyDescent="0.25">
      <c r="A743" s="3">
        <v>738</v>
      </c>
      <c r="B743" s="3" t="str">
        <f>"00092554"</f>
        <v>00092554</v>
      </c>
    </row>
    <row r="744" spans="1:2" x14ac:dyDescent="0.25">
      <c r="A744" s="3">
        <v>739</v>
      </c>
      <c r="B744" s="3" t="str">
        <f>"00092698"</f>
        <v>00092698</v>
      </c>
    </row>
    <row r="745" spans="1:2" x14ac:dyDescent="0.25">
      <c r="A745" s="3">
        <v>740</v>
      </c>
      <c r="B745" s="3" t="str">
        <f>"00092756"</f>
        <v>00092756</v>
      </c>
    </row>
    <row r="746" spans="1:2" x14ac:dyDescent="0.25">
      <c r="A746" s="3">
        <v>741</v>
      </c>
      <c r="B746" s="3" t="str">
        <f>"00092762"</f>
        <v>00092762</v>
      </c>
    </row>
    <row r="747" spans="1:2" x14ac:dyDescent="0.25">
      <c r="A747" s="3">
        <v>742</v>
      </c>
      <c r="B747" s="3" t="str">
        <f>"00092908"</f>
        <v>00092908</v>
      </c>
    </row>
    <row r="748" spans="1:2" x14ac:dyDescent="0.25">
      <c r="A748" s="3">
        <v>743</v>
      </c>
      <c r="B748" s="3" t="str">
        <f>"00092922"</f>
        <v>00092922</v>
      </c>
    </row>
    <row r="749" spans="1:2" x14ac:dyDescent="0.25">
      <c r="A749" s="3">
        <v>744</v>
      </c>
      <c r="B749" s="3" t="str">
        <f>"00092971"</f>
        <v>00092971</v>
      </c>
    </row>
    <row r="750" spans="1:2" x14ac:dyDescent="0.25">
      <c r="A750" s="3">
        <v>745</v>
      </c>
      <c r="B750" s="3" t="str">
        <f>"00093194"</f>
        <v>00093194</v>
      </c>
    </row>
    <row r="751" spans="1:2" x14ac:dyDescent="0.25">
      <c r="A751" s="3">
        <v>746</v>
      </c>
      <c r="B751" s="3" t="str">
        <f>"00093225"</f>
        <v>00093225</v>
      </c>
    </row>
    <row r="752" spans="1:2" x14ac:dyDescent="0.25">
      <c r="A752" s="3">
        <v>747</v>
      </c>
      <c r="B752" s="3" t="str">
        <f>"00093418"</f>
        <v>00093418</v>
      </c>
    </row>
    <row r="753" spans="1:2" x14ac:dyDescent="0.25">
      <c r="A753" s="3">
        <v>748</v>
      </c>
      <c r="B753" s="3" t="str">
        <f>"00093627"</f>
        <v>00093627</v>
      </c>
    </row>
    <row r="754" spans="1:2" x14ac:dyDescent="0.25">
      <c r="A754" s="3">
        <v>749</v>
      </c>
      <c r="B754" s="3" t="str">
        <f>"00093807"</f>
        <v>00093807</v>
      </c>
    </row>
    <row r="755" spans="1:2" x14ac:dyDescent="0.25">
      <c r="A755" s="3">
        <v>750</v>
      </c>
      <c r="B755" s="3" t="str">
        <f>"00093851"</f>
        <v>00093851</v>
      </c>
    </row>
    <row r="756" spans="1:2" x14ac:dyDescent="0.25">
      <c r="A756" s="3">
        <v>751</v>
      </c>
      <c r="B756" s="3" t="str">
        <f>"00094238"</f>
        <v>00094238</v>
      </c>
    </row>
    <row r="757" spans="1:2" x14ac:dyDescent="0.25">
      <c r="A757" s="3">
        <v>752</v>
      </c>
      <c r="B757" s="3" t="str">
        <f>"00094439"</f>
        <v>00094439</v>
      </c>
    </row>
    <row r="758" spans="1:2" x14ac:dyDescent="0.25">
      <c r="A758" s="3">
        <v>753</v>
      </c>
      <c r="B758" s="3" t="str">
        <f>"00094468"</f>
        <v>00094468</v>
      </c>
    </row>
    <row r="759" spans="1:2" x14ac:dyDescent="0.25">
      <c r="A759" s="3">
        <v>754</v>
      </c>
      <c r="B759" s="3" t="str">
        <f>"00094523"</f>
        <v>00094523</v>
      </c>
    </row>
    <row r="760" spans="1:2" x14ac:dyDescent="0.25">
      <c r="A760" s="3">
        <v>755</v>
      </c>
      <c r="B760" s="3" t="str">
        <f>"00094532"</f>
        <v>00094532</v>
      </c>
    </row>
    <row r="761" spans="1:2" x14ac:dyDescent="0.25">
      <c r="A761" s="3">
        <v>756</v>
      </c>
      <c r="B761" s="3" t="str">
        <f>"00094552"</f>
        <v>00094552</v>
      </c>
    </row>
    <row r="762" spans="1:2" x14ac:dyDescent="0.25">
      <c r="A762" s="3">
        <v>757</v>
      </c>
      <c r="B762" s="3" t="str">
        <f>"00094656"</f>
        <v>00094656</v>
      </c>
    </row>
    <row r="763" spans="1:2" x14ac:dyDescent="0.25">
      <c r="A763" s="3">
        <v>758</v>
      </c>
      <c r="B763" s="3" t="str">
        <f>"00094668"</f>
        <v>00094668</v>
      </c>
    </row>
    <row r="764" spans="1:2" x14ac:dyDescent="0.25">
      <c r="A764" s="3">
        <v>759</v>
      </c>
      <c r="B764" s="3" t="str">
        <f>"00094843"</f>
        <v>00094843</v>
      </c>
    </row>
    <row r="765" spans="1:2" x14ac:dyDescent="0.25">
      <c r="A765" s="3">
        <v>760</v>
      </c>
      <c r="B765" s="3" t="str">
        <f>"00094946"</f>
        <v>00094946</v>
      </c>
    </row>
    <row r="766" spans="1:2" x14ac:dyDescent="0.25">
      <c r="A766" s="3">
        <v>761</v>
      </c>
      <c r="B766" s="3" t="str">
        <f>"00094981"</f>
        <v>00094981</v>
      </c>
    </row>
    <row r="767" spans="1:2" x14ac:dyDescent="0.25">
      <c r="A767" s="3">
        <v>762</v>
      </c>
      <c r="B767" s="3" t="str">
        <f>"00095082"</f>
        <v>00095082</v>
      </c>
    </row>
    <row r="768" spans="1:2" x14ac:dyDescent="0.25">
      <c r="A768" s="3">
        <v>763</v>
      </c>
      <c r="B768" s="3" t="str">
        <f>"00095226"</f>
        <v>00095226</v>
      </c>
    </row>
    <row r="769" spans="1:2" x14ac:dyDescent="0.25">
      <c r="A769" s="3">
        <v>764</v>
      </c>
      <c r="B769" s="3" t="str">
        <f>"00095346"</f>
        <v>00095346</v>
      </c>
    </row>
    <row r="770" spans="1:2" x14ac:dyDescent="0.25">
      <c r="A770" s="3">
        <v>765</v>
      </c>
      <c r="B770" s="3" t="str">
        <f>"00095418"</f>
        <v>00095418</v>
      </c>
    </row>
    <row r="771" spans="1:2" x14ac:dyDescent="0.25">
      <c r="A771" s="3">
        <v>766</v>
      </c>
      <c r="B771" s="3" t="str">
        <f>"00095572"</f>
        <v>00095572</v>
      </c>
    </row>
    <row r="772" spans="1:2" x14ac:dyDescent="0.25">
      <c r="A772" s="3">
        <v>767</v>
      </c>
      <c r="B772" s="3" t="str">
        <f>"00095576"</f>
        <v>00095576</v>
      </c>
    </row>
    <row r="773" spans="1:2" x14ac:dyDescent="0.25">
      <c r="A773" s="3">
        <v>768</v>
      </c>
      <c r="B773" s="3" t="str">
        <f>"00095691"</f>
        <v>00095691</v>
      </c>
    </row>
    <row r="774" spans="1:2" x14ac:dyDescent="0.25">
      <c r="A774" s="3">
        <v>769</v>
      </c>
      <c r="B774" s="3" t="str">
        <f>"00095706"</f>
        <v>00095706</v>
      </c>
    </row>
    <row r="775" spans="1:2" x14ac:dyDescent="0.25">
      <c r="A775" s="3">
        <v>770</v>
      </c>
      <c r="B775" s="3" t="str">
        <f>"00095778"</f>
        <v>00095778</v>
      </c>
    </row>
    <row r="776" spans="1:2" x14ac:dyDescent="0.25">
      <c r="A776" s="3">
        <v>771</v>
      </c>
      <c r="B776" s="3" t="str">
        <f>"00095830"</f>
        <v>00095830</v>
      </c>
    </row>
    <row r="777" spans="1:2" x14ac:dyDescent="0.25">
      <c r="A777" s="3">
        <v>772</v>
      </c>
      <c r="B777" s="3" t="str">
        <f>"00095904"</f>
        <v>00095904</v>
      </c>
    </row>
    <row r="778" spans="1:2" x14ac:dyDescent="0.25">
      <c r="A778" s="3">
        <v>773</v>
      </c>
      <c r="B778" s="3" t="str">
        <f>"00095948"</f>
        <v>00095948</v>
      </c>
    </row>
    <row r="779" spans="1:2" x14ac:dyDescent="0.25">
      <c r="A779" s="3">
        <v>774</v>
      </c>
      <c r="B779" s="3" t="str">
        <f>"00096006"</f>
        <v>00096006</v>
      </c>
    </row>
    <row r="780" spans="1:2" x14ac:dyDescent="0.25">
      <c r="A780" s="3">
        <v>775</v>
      </c>
      <c r="B780" s="3" t="str">
        <f>"00096091"</f>
        <v>00096091</v>
      </c>
    </row>
    <row r="781" spans="1:2" x14ac:dyDescent="0.25">
      <c r="A781" s="3">
        <v>776</v>
      </c>
      <c r="B781" s="3" t="str">
        <f>"00096147"</f>
        <v>00096147</v>
      </c>
    </row>
    <row r="782" spans="1:2" x14ac:dyDescent="0.25">
      <c r="A782" s="3">
        <v>777</v>
      </c>
      <c r="B782" s="3" t="str">
        <f>"00096207"</f>
        <v>00096207</v>
      </c>
    </row>
    <row r="783" spans="1:2" x14ac:dyDescent="0.25">
      <c r="A783" s="3">
        <v>778</v>
      </c>
      <c r="B783" s="3" t="str">
        <f>"00096264"</f>
        <v>00096264</v>
      </c>
    </row>
    <row r="784" spans="1:2" x14ac:dyDescent="0.25">
      <c r="A784" s="3">
        <v>779</v>
      </c>
      <c r="B784" s="3" t="str">
        <f>"00096322"</f>
        <v>00096322</v>
      </c>
    </row>
    <row r="785" spans="1:2" x14ac:dyDescent="0.25">
      <c r="A785" s="3">
        <v>780</v>
      </c>
      <c r="B785" s="3" t="str">
        <f>"00096409"</f>
        <v>00096409</v>
      </c>
    </row>
    <row r="786" spans="1:2" x14ac:dyDescent="0.25">
      <c r="A786" s="3">
        <v>781</v>
      </c>
      <c r="B786" s="3" t="str">
        <f>"00096419"</f>
        <v>00096419</v>
      </c>
    </row>
    <row r="787" spans="1:2" x14ac:dyDescent="0.25">
      <c r="A787" s="3">
        <v>782</v>
      </c>
      <c r="B787" s="3" t="str">
        <f>"00096498"</f>
        <v>00096498</v>
      </c>
    </row>
    <row r="788" spans="1:2" x14ac:dyDescent="0.25">
      <c r="A788" s="3">
        <v>783</v>
      </c>
      <c r="B788" s="3" t="str">
        <f>"00096616"</f>
        <v>00096616</v>
      </c>
    </row>
    <row r="789" spans="1:2" x14ac:dyDescent="0.25">
      <c r="A789" s="3">
        <v>784</v>
      </c>
      <c r="B789" s="3" t="str">
        <f>"00096904"</f>
        <v>00096904</v>
      </c>
    </row>
    <row r="790" spans="1:2" x14ac:dyDescent="0.25">
      <c r="A790" s="3">
        <v>785</v>
      </c>
      <c r="B790" s="3" t="str">
        <f>"00097253"</f>
        <v>00097253</v>
      </c>
    </row>
    <row r="791" spans="1:2" x14ac:dyDescent="0.25">
      <c r="A791" s="3">
        <v>786</v>
      </c>
      <c r="B791" s="3" t="str">
        <f>"00097301"</f>
        <v>00097301</v>
      </c>
    </row>
    <row r="792" spans="1:2" x14ac:dyDescent="0.25">
      <c r="A792" s="3">
        <v>787</v>
      </c>
      <c r="B792" s="3" t="str">
        <f>"00097328"</f>
        <v>00097328</v>
      </c>
    </row>
    <row r="793" spans="1:2" x14ac:dyDescent="0.25">
      <c r="A793" s="3">
        <v>788</v>
      </c>
      <c r="B793" s="3" t="str">
        <f>"00097474"</f>
        <v>00097474</v>
      </c>
    </row>
    <row r="794" spans="1:2" x14ac:dyDescent="0.25">
      <c r="A794" s="3">
        <v>789</v>
      </c>
      <c r="B794" s="3" t="str">
        <f>"00097488"</f>
        <v>00097488</v>
      </c>
    </row>
    <row r="795" spans="1:2" x14ac:dyDescent="0.25">
      <c r="A795" s="3">
        <v>790</v>
      </c>
      <c r="B795" s="3" t="str">
        <f>"00097739"</f>
        <v>00097739</v>
      </c>
    </row>
    <row r="796" spans="1:2" x14ac:dyDescent="0.25">
      <c r="A796" s="3">
        <v>791</v>
      </c>
      <c r="B796" s="3" t="str">
        <f>"00097796"</f>
        <v>00097796</v>
      </c>
    </row>
    <row r="797" spans="1:2" x14ac:dyDescent="0.25">
      <c r="A797" s="3">
        <v>792</v>
      </c>
      <c r="B797" s="3" t="str">
        <f>"00098375"</f>
        <v>00098375</v>
      </c>
    </row>
    <row r="798" spans="1:2" x14ac:dyDescent="0.25">
      <c r="A798" s="3">
        <v>793</v>
      </c>
      <c r="B798" s="3" t="str">
        <f>"00098770"</f>
        <v>00098770</v>
      </c>
    </row>
    <row r="799" spans="1:2" x14ac:dyDescent="0.25">
      <c r="A799" s="3">
        <v>794</v>
      </c>
      <c r="B799" s="3" t="str">
        <f>"00098798"</f>
        <v>00098798</v>
      </c>
    </row>
    <row r="800" spans="1:2" x14ac:dyDescent="0.25">
      <c r="A800" s="3">
        <v>795</v>
      </c>
      <c r="B800" s="3" t="str">
        <f>"00098813"</f>
        <v>00098813</v>
      </c>
    </row>
    <row r="801" spans="1:2" x14ac:dyDescent="0.25">
      <c r="A801" s="3">
        <v>796</v>
      </c>
      <c r="B801" s="3" t="str">
        <f>"00099049"</f>
        <v>00099049</v>
      </c>
    </row>
    <row r="802" spans="1:2" x14ac:dyDescent="0.25">
      <c r="A802" s="3">
        <v>797</v>
      </c>
      <c r="B802" s="3" t="str">
        <f>"00099250"</f>
        <v>00099250</v>
      </c>
    </row>
    <row r="803" spans="1:2" x14ac:dyDescent="0.25">
      <c r="A803" s="3">
        <v>798</v>
      </c>
      <c r="B803" s="3" t="str">
        <f>"00099358"</f>
        <v>00099358</v>
      </c>
    </row>
    <row r="804" spans="1:2" x14ac:dyDescent="0.25">
      <c r="A804" s="3">
        <v>799</v>
      </c>
      <c r="B804" s="3" t="str">
        <f>"00099754"</f>
        <v>00099754</v>
      </c>
    </row>
    <row r="805" spans="1:2" x14ac:dyDescent="0.25">
      <c r="A805" s="3">
        <v>800</v>
      </c>
      <c r="B805" s="3" t="str">
        <f>"00100396"</f>
        <v>00100396</v>
      </c>
    </row>
    <row r="806" spans="1:2" x14ac:dyDescent="0.25">
      <c r="A806" s="3">
        <v>801</v>
      </c>
      <c r="B806" s="3" t="str">
        <f>"00100444"</f>
        <v>00100444</v>
      </c>
    </row>
    <row r="807" spans="1:2" x14ac:dyDescent="0.25">
      <c r="A807" s="3">
        <v>802</v>
      </c>
      <c r="B807" s="3" t="str">
        <f>"00100929"</f>
        <v>00100929</v>
      </c>
    </row>
    <row r="808" spans="1:2" x14ac:dyDescent="0.25">
      <c r="A808" s="3">
        <v>803</v>
      </c>
      <c r="B808" s="3" t="str">
        <f>"00101323"</f>
        <v>00101323</v>
      </c>
    </row>
    <row r="809" spans="1:2" x14ac:dyDescent="0.25">
      <c r="A809" s="3">
        <v>804</v>
      </c>
      <c r="B809" s="3" t="str">
        <f>"00101491"</f>
        <v>00101491</v>
      </c>
    </row>
    <row r="810" spans="1:2" x14ac:dyDescent="0.25">
      <c r="A810" s="3">
        <v>805</v>
      </c>
      <c r="B810" s="3" t="str">
        <f>"00101567"</f>
        <v>00101567</v>
      </c>
    </row>
    <row r="811" spans="1:2" x14ac:dyDescent="0.25">
      <c r="A811" s="3">
        <v>806</v>
      </c>
      <c r="B811" s="3" t="str">
        <f>"00101723"</f>
        <v>00101723</v>
      </c>
    </row>
    <row r="812" spans="1:2" x14ac:dyDescent="0.25">
      <c r="A812" s="3">
        <v>807</v>
      </c>
      <c r="B812" s="3" t="str">
        <f>"00101890"</f>
        <v>00101890</v>
      </c>
    </row>
    <row r="813" spans="1:2" x14ac:dyDescent="0.25">
      <c r="A813" s="3">
        <v>808</v>
      </c>
      <c r="B813" s="3" t="str">
        <f>"00101896"</f>
        <v>00101896</v>
      </c>
    </row>
    <row r="814" spans="1:2" x14ac:dyDescent="0.25">
      <c r="A814" s="3">
        <v>809</v>
      </c>
      <c r="B814" s="3" t="str">
        <f>"00101909"</f>
        <v>00101909</v>
      </c>
    </row>
    <row r="815" spans="1:2" x14ac:dyDescent="0.25">
      <c r="A815" s="3">
        <v>810</v>
      </c>
      <c r="B815" s="3" t="str">
        <f>"00101942"</f>
        <v>00101942</v>
      </c>
    </row>
    <row r="816" spans="1:2" x14ac:dyDescent="0.25">
      <c r="A816" s="3">
        <v>811</v>
      </c>
      <c r="B816" s="3" t="str">
        <f>"00101954"</f>
        <v>00101954</v>
      </c>
    </row>
    <row r="817" spans="1:2" x14ac:dyDescent="0.25">
      <c r="A817" s="3">
        <v>812</v>
      </c>
      <c r="B817" s="3" t="str">
        <f>"00101988"</f>
        <v>00101988</v>
      </c>
    </row>
    <row r="818" spans="1:2" x14ac:dyDescent="0.25">
      <c r="A818" s="3">
        <v>813</v>
      </c>
      <c r="B818" s="3" t="str">
        <f>"00102014"</f>
        <v>00102014</v>
      </c>
    </row>
    <row r="819" spans="1:2" x14ac:dyDescent="0.25">
      <c r="A819" s="3">
        <v>814</v>
      </c>
      <c r="B819" s="3" t="str">
        <f>"00102122"</f>
        <v>00102122</v>
      </c>
    </row>
    <row r="820" spans="1:2" x14ac:dyDescent="0.25">
      <c r="A820" s="3">
        <v>815</v>
      </c>
      <c r="B820" s="3" t="str">
        <f>"00102381"</f>
        <v>00102381</v>
      </c>
    </row>
    <row r="821" spans="1:2" x14ac:dyDescent="0.25">
      <c r="A821" s="3">
        <v>816</v>
      </c>
      <c r="B821" s="3" t="str">
        <f>"00102566"</f>
        <v>00102566</v>
      </c>
    </row>
    <row r="822" spans="1:2" x14ac:dyDescent="0.25">
      <c r="A822" s="3">
        <v>817</v>
      </c>
      <c r="B822" s="3" t="str">
        <f>"00102678"</f>
        <v>00102678</v>
      </c>
    </row>
    <row r="823" spans="1:2" x14ac:dyDescent="0.25">
      <c r="A823" s="3">
        <v>818</v>
      </c>
      <c r="B823" s="3" t="str">
        <f>"00102691"</f>
        <v>00102691</v>
      </c>
    </row>
    <row r="824" spans="1:2" x14ac:dyDescent="0.25">
      <c r="A824" s="3">
        <v>819</v>
      </c>
      <c r="B824" s="3" t="str">
        <f>"00102700"</f>
        <v>00102700</v>
      </c>
    </row>
    <row r="825" spans="1:2" x14ac:dyDescent="0.25">
      <c r="A825" s="3">
        <v>820</v>
      </c>
      <c r="B825" s="3" t="str">
        <f>"00103140"</f>
        <v>00103140</v>
      </c>
    </row>
    <row r="826" spans="1:2" x14ac:dyDescent="0.25">
      <c r="A826" s="3">
        <v>821</v>
      </c>
      <c r="B826" s="3" t="str">
        <f>"00103194"</f>
        <v>00103194</v>
      </c>
    </row>
    <row r="827" spans="1:2" x14ac:dyDescent="0.25">
      <c r="A827" s="3">
        <v>822</v>
      </c>
      <c r="B827" s="3" t="str">
        <f>"00103221"</f>
        <v>00103221</v>
      </c>
    </row>
    <row r="828" spans="1:2" x14ac:dyDescent="0.25">
      <c r="A828" s="3">
        <v>823</v>
      </c>
      <c r="B828" s="3" t="str">
        <f>"00103223"</f>
        <v>00103223</v>
      </c>
    </row>
    <row r="829" spans="1:2" x14ac:dyDescent="0.25">
      <c r="A829" s="3">
        <v>824</v>
      </c>
      <c r="B829" s="3" t="str">
        <f>"00103406"</f>
        <v>00103406</v>
      </c>
    </row>
    <row r="830" spans="1:2" x14ac:dyDescent="0.25">
      <c r="A830" s="3">
        <v>825</v>
      </c>
      <c r="B830" s="3" t="str">
        <f>"00103568"</f>
        <v>00103568</v>
      </c>
    </row>
    <row r="831" spans="1:2" x14ac:dyDescent="0.25">
      <c r="A831" s="3">
        <v>826</v>
      </c>
      <c r="B831" s="3" t="str">
        <f>"00103927"</f>
        <v>00103927</v>
      </c>
    </row>
    <row r="832" spans="1:2" x14ac:dyDescent="0.25">
      <c r="A832" s="3">
        <v>827</v>
      </c>
      <c r="B832" s="3" t="str">
        <f>"00103991"</f>
        <v>00103991</v>
      </c>
    </row>
    <row r="833" spans="1:2" x14ac:dyDescent="0.25">
      <c r="A833" s="3">
        <v>828</v>
      </c>
      <c r="B833" s="3" t="str">
        <f>"00104327"</f>
        <v>00104327</v>
      </c>
    </row>
    <row r="834" spans="1:2" x14ac:dyDescent="0.25">
      <c r="A834" s="3">
        <v>829</v>
      </c>
      <c r="B834" s="3" t="str">
        <f>"00104398"</f>
        <v>00104398</v>
      </c>
    </row>
    <row r="835" spans="1:2" x14ac:dyDescent="0.25">
      <c r="A835" s="3">
        <v>830</v>
      </c>
      <c r="B835" s="3" t="str">
        <f>"00107267"</f>
        <v>00107267</v>
      </c>
    </row>
    <row r="836" spans="1:2" x14ac:dyDescent="0.25">
      <c r="A836" s="3">
        <v>831</v>
      </c>
      <c r="B836" s="3" t="str">
        <f>"00107465"</f>
        <v>00107465</v>
      </c>
    </row>
    <row r="837" spans="1:2" x14ac:dyDescent="0.25">
      <c r="A837" s="3">
        <v>832</v>
      </c>
      <c r="B837" s="3" t="str">
        <f>"00108926"</f>
        <v>00108926</v>
      </c>
    </row>
    <row r="838" spans="1:2" x14ac:dyDescent="0.25">
      <c r="A838" s="3">
        <v>833</v>
      </c>
      <c r="B838" s="3" t="str">
        <f>"00109777"</f>
        <v>00109777</v>
      </c>
    </row>
    <row r="839" spans="1:2" x14ac:dyDescent="0.25">
      <c r="A839" s="3">
        <v>834</v>
      </c>
      <c r="B839" s="3" t="str">
        <f>"00112703"</f>
        <v>00112703</v>
      </c>
    </row>
    <row r="840" spans="1:2" x14ac:dyDescent="0.25">
      <c r="A840" s="3">
        <v>835</v>
      </c>
      <c r="B840" s="3" t="str">
        <f>"00113516"</f>
        <v>00113516</v>
      </c>
    </row>
    <row r="841" spans="1:2" x14ac:dyDescent="0.25">
      <c r="A841" s="3">
        <v>836</v>
      </c>
      <c r="B841" s="3" t="str">
        <f>"00113759"</f>
        <v>00113759</v>
      </c>
    </row>
    <row r="842" spans="1:2" x14ac:dyDescent="0.25">
      <c r="A842" s="3">
        <v>837</v>
      </c>
      <c r="B842" s="3" t="str">
        <f>"00113775"</f>
        <v>00113775</v>
      </c>
    </row>
    <row r="843" spans="1:2" x14ac:dyDescent="0.25">
      <c r="A843" s="3">
        <v>838</v>
      </c>
      <c r="B843" s="3" t="str">
        <f>"00116057"</f>
        <v>00116057</v>
      </c>
    </row>
    <row r="844" spans="1:2" x14ac:dyDescent="0.25">
      <c r="A844" s="3">
        <v>839</v>
      </c>
      <c r="B844" s="3" t="str">
        <f>"00116391"</f>
        <v>00116391</v>
      </c>
    </row>
    <row r="845" spans="1:2" x14ac:dyDescent="0.25">
      <c r="A845" s="3">
        <v>840</v>
      </c>
      <c r="B845" s="3" t="str">
        <f>"00117868"</f>
        <v>00117868</v>
      </c>
    </row>
    <row r="846" spans="1:2" x14ac:dyDescent="0.25">
      <c r="A846" s="3">
        <v>841</v>
      </c>
      <c r="B846" s="3" t="str">
        <f>"00119863"</f>
        <v>00119863</v>
      </c>
    </row>
    <row r="847" spans="1:2" x14ac:dyDescent="0.25">
      <c r="A847" s="3">
        <v>842</v>
      </c>
      <c r="B847" s="3" t="str">
        <f>"00122634"</f>
        <v>00122634</v>
      </c>
    </row>
    <row r="848" spans="1:2" x14ac:dyDescent="0.25">
      <c r="A848" s="3">
        <v>843</v>
      </c>
      <c r="B848" s="3" t="str">
        <f>"00123472"</f>
        <v>00123472</v>
      </c>
    </row>
    <row r="849" spans="1:2" x14ac:dyDescent="0.25">
      <c r="A849" s="3">
        <v>844</v>
      </c>
      <c r="B849" s="3" t="str">
        <f>"00137012"</f>
        <v>00137012</v>
      </c>
    </row>
    <row r="850" spans="1:2" x14ac:dyDescent="0.25">
      <c r="A850" s="3">
        <v>845</v>
      </c>
      <c r="B850" s="3" t="str">
        <f>"00137752"</f>
        <v>00137752</v>
      </c>
    </row>
    <row r="851" spans="1:2" x14ac:dyDescent="0.25">
      <c r="A851" s="3">
        <v>846</v>
      </c>
      <c r="B851" s="3" t="str">
        <f>"00137832"</f>
        <v>00137832</v>
      </c>
    </row>
    <row r="852" spans="1:2" x14ac:dyDescent="0.25">
      <c r="A852" s="3">
        <v>847</v>
      </c>
      <c r="B852" s="3" t="str">
        <f>"00138235"</f>
        <v>00138235</v>
      </c>
    </row>
    <row r="853" spans="1:2" x14ac:dyDescent="0.25">
      <c r="A853" s="3">
        <v>848</v>
      </c>
      <c r="B853" s="3" t="str">
        <f>"00139976"</f>
        <v>00139976</v>
      </c>
    </row>
    <row r="854" spans="1:2" x14ac:dyDescent="0.25">
      <c r="A854" s="3">
        <v>849</v>
      </c>
      <c r="B854" s="3" t="str">
        <f>"00140248"</f>
        <v>00140248</v>
      </c>
    </row>
    <row r="855" spans="1:2" x14ac:dyDescent="0.25">
      <c r="A855" s="3">
        <v>850</v>
      </c>
      <c r="B855" s="3" t="str">
        <f>"00142094"</f>
        <v>00142094</v>
      </c>
    </row>
    <row r="856" spans="1:2" x14ac:dyDescent="0.25">
      <c r="A856" s="3">
        <v>851</v>
      </c>
      <c r="B856" s="3" t="str">
        <f>"00143291"</f>
        <v>00143291</v>
      </c>
    </row>
    <row r="857" spans="1:2" x14ac:dyDescent="0.25">
      <c r="A857" s="3">
        <v>852</v>
      </c>
      <c r="B857" s="3" t="str">
        <f>"00144360"</f>
        <v>00144360</v>
      </c>
    </row>
    <row r="858" spans="1:2" x14ac:dyDescent="0.25">
      <c r="A858" s="3">
        <v>853</v>
      </c>
      <c r="B858" s="3" t="str">
        <f>"00145359"</f>
        <v>00145359</v>
      </c>
    </row>
    <row r="859" spans="1:2" x14ac:dyDescent="0.25">
      <c r="A859" s="3">
        <v>854</v>
      </c>
      <c r="B859" s="3" t="str">
        <f>"00147268"</f>
        <v>00147268</v>
      </c>
    </row>
    <row r="860" spans="1:2" x14ac:dyDescent="0.25">
      <c r="A860" s="3">
        <v>855</v>
      </c>
      <c r="B860" s="3" t="str">
        <f>"00147270"</f>
        <v>00147270</v>
      </c>
    </row>
    <row r="861" spans="1:2" x14ac:dyDescent="0.25">
      <c r="A861" s="3">
        <v>856</v>
      </c>
      <c r="B861" s="3" t="str">
        <f>"00147350"</f>
        <v>00147350</v>
      </c>
    </row>
    <row r="862" spans="1:2" x14ac:dyDescent="0.25">
      <c r="A862" s="3">
        <v>857</v>
      </c>
      <c r="B862" s="3" t="str">
        <f>"00147471"</f>
        <v>00147471</v>
      </c>
    </row>
    <row r="863" spans="1:2" x14ac:dyDescent="0.25">
      <c r="A863" s="3">
        <v>858</v>
      </c>
      <c r="B863" s="3" t="str">
        <f>"00148378"</f>
        <v>00148378</v>
      </c>
    </row>
    <row r="864" spans="1:2" x14ac:dyDescent="0.25">
      <c r="A864" s="3">
        <v>859</v>
      </c>
      <c r="B864" s="3" t="str">
        <f>"00148395"</f>
        <v>00148395</v>
      </c>
    </row>
    <row r="865" spans="1:2" x14ac:dyDescent="0.25">
      <c r="A865" s="3">
        <v>860</v>
      </c>
      <c r="B865" s="3" t="str">
        <f>"00148860"</f>
        <v>00148860</v>
      </c>
    </row>
    <row r="866" spans="1:2" x14ac:dyDescent="0.25">
      <c r="A866" s="3">
        <v>861</v>
      </c>
      <c r="B866" s="3" t="str">
        <f>"00149463"</f>
        <v>00149463</v>
      </c>
    </row>
    <row r="867" spans="1:2" x14ac:dyDescent="0.25">
      <c r="A867" s="3">
        <v>862</v>
      </c>
      <c r="B867" s="3" t="str">
        <f>"00149656"</f>
        <v>00149656</v>
      </c>
    </row>
    <row r="868" spans="1:2" x14ac:dyDescent="0.25">
      <c r="A868" s="3">
        <v>863</v>
      </c>
      <c r="B868" s="3" t="str">
        <f>"00149817"</f>
        <v>00149817</v>
      </c>
    </row>
    <row r="869" spans="1:2" x14ac:dyDescent="0.25">
      <c r="A869" s="3">
        <v>864</v>
      </c>
      <c r="B869" s="3" t="str">
        <f>"00150009"</f>
        <v>00150009</v>
      </c>
    </row>
    <row r="870" spans="1:2" x14ac:dyDescent="0.25">
      <c r="A870" s="3">
        <v>865</v>
      </c>
      <c r="B870" s="3" t="str">
        <f>"00150135"</f>
        <v>00150135</v>
      </c>
    </row>
    <row r="871" spans="1:2" x14ac:dyDescent="0.25">
      <c r="A871" s="3">
        <v>866</v>
      </c>
      <c r="B871" s="3" t="str">
        <f>"00150200"</f>
        <v>00150200</v>
      </c>
    </row>
    <row r="872" spans="1:2" x14ac:dyDescent="0.25">
      <c r="A872" s="3">
        <v>867</v>
      </c>
      <c r="B872" s="3" t="str">
        <f>"00151010"</f>
        <v>00151010</v>
      </c>
    </row>
    <row r="873" spans="1:2" x14ac:dyDescent="0.25">
      <c r="A873" s="3">
        <v>868</v>
      </c>
      <c r="B873" s="3" t="str">
        <f>"00151118"</f>
        <v>00151118</v>
      </c>
    </row>
    <row r="874" spans="1:2" x14ac:dyDescent="0.25">
      <c r="A874" s="3">
        <v>869</v>
      </c>
      <c r="B874" s="3" t="str">
        <f>"00151250"</f>
        <v>00151250</v>
      </c>
    </row>
    <row r="875" spans="1:2" x14ac:dyDescent="0.25">
      <c r="A875" s="3">
        <v>870</v>
      </c>
      <c r="B875" s="3" t="str">
        <f>"00151999"</f>
        <v>00151999</v>
      </c>
    </row>
    <row r="876" spans="1:2" x14ac:dyDescent="0.25">
      <c r="A876" s="3">
        <v>871</v>
      </c>
      <c r="B876" s="3" t="str">
        <f>"00152083"</f>
        <v>00152083</v>
      </c>
    </row>
    <row r="877" spans="1:2" x14ac:dyDescent="0.25">
      <c r="A877" s="3">
        <v>872</v>
      </c>
      <c r="B877" s="3" t="str">
        <f>"00152136"</f>
        <v>00152136</v>
      </c>
    </row>
    <row r="878" spans="1:2" x14ac:dyDescent="0.25">
      <c r="A878" s="3">
        <v>873</v>
      </c>
      <c r="B878" s="3" t="str">
        <f>"00153078"</f>
        <v>00153078</v>
      </c>
    </row>
    <row r="879" spans="1:2" x14ac:dyDescent="0.25">
      <c r="A879" s="3">
        <v>874</v>
      </c>
      <c r="B879" s="3" t="str">
        <f>"00154298"</f>
        <v>00154298</v>
      </c>
    </row>
    <row r="880" spans="1:2" x14ac:dyDescent="0.25">
      <c r="A880" s="3">
        <v>875</v>
      </c>
      <c r="B880" s="3" t="str">
        <f>"00154608"</f>
        <v>00154608</v>
      </c>
    </row>
    <row r="881" spans="1:2" x14ac:dyDescent="0.25">
      <c r="A881" s="3">
        <v>876</v>
      </c>
      <c r="B881" s="3" t="str">
        <f>"00154790"</f>
        <v>00154790</v>
      </c>
    </row>
    <row r="882" spans="1:2" x14ac:dyDescent="0.25">
      <c r="A882" s="3">
        <v>877</v>
      </c>
      <c r="B882" s="3" t="str">
        <f>"00155484"</f>
        <v>00155484</v>
      </c>
    </row>
    <row r="883" spans="1:2" x14ac:dyDescent="0.25">
      <c r="A883" s="3">
        <v>878</v>
      </c>
      <c r="B883" s="3" t="str">
        <f>"00155884"</f>
        <v>00155884</v>
      </c>
    </row>
    <row r="884" spans="1:2" x14ac:dyDescent="0.25">
      <c r="A884" s="3">
        <v>879</v>
      </c>
      <c r="B884" s="3" t="str">
        <f>"00156190"</f>
        <v>00156190</v>
      </c>
    </row>
    <row r="885" spans="1:2" x14ac:dyDescent="0.25">
      <c r="A885" s="3">
        <v>880</v>
      </c>
      <c r="B885" s="3" t="str">
        <f>"00156423"</f>
        <v>00156423</v>
      </c>
    </row>
    <row r="886" spans="1:2" x14ac:dyDescent="0.25">
      <c r="A886" s="3">
        <v>881</v>
      </c>
      <c r="B886" s="3" t="str">
        <f>"00156691"</f>
        <v>00156691</v>
      </c>
    </row>
    <row r="887" spans="1:2" x14ac:dyDescent="0.25">
      <c r="A887" s="3">
        <v>882</v>
      </c>
      <c r="B887" s="3" t="str">
        <f>"00158499"</f>
        <v>00158499</v>
      </c>
    </row>
    <row r="888" spans="1:2" x14ac:dyDescent="0.25">
      <c r="A888" s="3">
        <v>883</v>
      </c>
      <c r="B888" s="3" t="str">
        <f>"00158608"</f>
        <v>00158608</v>
      </c>
    </row>
    <row r="889" spans="1:2" x14ac:dyDescent="0.25">
      <c r="A889" s="3">
        <v>884</v>
      </c>
      <c r="B889" s="3" t="str">
        <f>"00158651"</f>
        <v>00158651</v>
      </c>
    </row>
    <row r="890" spans="1:2" x14ac:dyDescent="0.25">
      <c r="A890" s="3">
        <v>885</v>
      </c>
      <c r="B890" s="3" t="str">
        <f>"00158992"</f>
        <v>00158992</v>
      </c>
    </row>
    <row r="891" spans="1:2" x14ac:dyDescent="0.25">
      <c r="A891" s="3">
        <v>886</v>
      </c>
      <c r="B891" s="3" t="str">
        <f>"00159084"</f>
        <v>00159084</v>
      </c>
    </row>
    <row r="892" spans="1:2" x14ac:dyDescent="0.25">
      <c r="A892" s="3">
        <v>887</v>
      </c>
      <c r="B892" s="3" t="str">
        <f>"00160594"</f>
        <v>00160594</v>
      </c>
    </row>
    <row r="893" spans="1:2" x14ac:dyDescent="0.25">
      <c r="A893" s="3">
        <v>888</v>
      </c>
      <c r="B893" s="3" t="str">
        <f>"00161010"</f>
        <v>00161010</v>
      </c>
    </row>
    <row r="894" spans="1:2" x14ac:dyDescent="0.25">
      <c r="A894" s="3">
        <v>889</v>
      </c>
      <c r="B894" s="3" t="str">
        <f>"00161256"</f>
        <v>00161256</v>
      </c>
    </row>
    <row r="895" spans="1:2" x14ac:dyDescent="0.25">
      <c r="A895" s="3">
        <v>890</v>
      </c>
      <c r="B895" s="3" t="str">
        <f>"00161282"</f>
        <v>00161282</v>
      </c>
    </row>
    <row r="896" spans="1:2" x14ac:dyDescent="0.25">
      <c r="A896" s="3">
        <v>891</v>
      </c>
      <c r="B896" s="3" t="str">
        <f>"00161289"</f>
        <v>00161289</v>
      </c>
    </row>
    <row r="897" spans="1:2" x14ac:dyDescent="0.25">
      <c r="A897" s="3">
        <v>892</v>
      </c>
      <c r="B897" s="3" t="str">
        <f>"00161475"</f>
        <v>00161475</v>
      </c>
    </row>
    <row r="898" spans="1:2" x14ac:dyDescent="0.25">
      <c r="A898" s="3">
        <v>893</v>
      </c>
      <c r="B898" s="3" t="str">
        <f>"00161509"</f>
        <v>00161509</v>
      </c>
    </row>
    <row r="899" spans="1:2" x14ac:dyDescent="0.25">
      <c r="A899" s="3">
        <v>894</v>
      </c>
      <c r="B899" s="3" t="str">
        <f>"00161579"</f>
        <v>00161579</v>
      </c>
    </row>
    <row r="900" spans="1:2" x14ac:dyDescent="0.25">
      <c r="A900" s="3">
        <v>895</v>
      </c>
      <c r="B900" s="3" t="str">
        <f>"00161696"</f>
        <v>00161696</v>
      </c>
    </row>
    <row r="901" spans="1:2" x14ac:dyDescent="0.25">
      <c r="A901" s="3">
        <v>896</v>
      </c>
      <c r="B901" s="3" t="str">
        <f>"00161832"</f>
        <v>00161832</v>
      </c>
    </row>
    <row r="902" spans="1:2" x14ac:dyDescent="0.25">
      <c r="A902" s="3">
        <v>897</v>
      </c>
      <c r="B902" s="3" t="str">
        <f>"00161883"</f>
        <v>00161883</v>
      </c>
    </row>
    <row r="903" spans="1:2" x14ac:dyDescent="0.25">
      <c r="A903" s="3">
        <v>898</v>
      </c>
      <c r="B903" s="3" t="str">
        <f>"00161943"</f>
        <v>00161943</v>
      </c>
    </row>
    <row r="904" spans="1:2" x14ac:dyDescent="0.25">
      <c r="A904" s="3">
        <v>899</v>
      </c>
      <c r="B904" s="3" t="str">
        <f>"00162328"</f>
        <v>00162328</v>
      </c>
    </row>
    <row r="905" spans="1:2" x14ac:dyDescent="0.25">
      <c r="A905" s="3">
        <v>900</v>
      </c>
      <c r="B905" s="3" t="str">
        <f>"00162799"</f>
        <v>00162799</v>
      </c>
    </row>
    <row r="906" spans="1:2" x14ac:dyDescent="0.25">
      <c r="A906" s="3">
        <v>901</v>
      </c>
      <c r="B906" s="3" t="str">
        <f>"00162971"</f>
        <v>00162971</v>
      </c>
    </row>
    <row r="907" spans="1:2" x14ac:dyDescent="0.25">
      <c r="A907" s="3">
        <v>902</v>
      </c>
      <c r="B907" s="3" t="str">
        <f>"00163138"</f>
        <v>00163138</v>
      </c>
    </row>
    <row r="908" spans="1:2" x14ac:dyDescent="0.25">
      <c r="A908" s="3">
        <v>903</v>
      </c>
      <c r="B908" s="3" t="str">
        <f>"00163273"</f>
        <v>00163273</v>
      </c>
    </row>
    <row r="909" spans="1:2" x14ac:dyDescent="0.25">
      <c r="A909" s="3">
        <v>904</v>
      </c>
      <c r="B909" s="3" t="str">
        <f>"00163669"</f>
        <v>00163669</v>
      </c>
    </row>
    <row r="910" spans="1:2" x14ac:dyDescent="0.25">
      <c r="A910" s="3">
        <v>905</v>
      </c>
      <c r="B910" s="3" t="str">
        <f>"00163684"</f>
        <v>00163684</v>
      </c>
    </row>
    <row r="911" spans="1:2" x14ac:dyDescent="0.25">
      <c r="A911" s="3">
        <v>906</v>
      </c>
      <c r="B911" s="3" t="str">
        <f>"00163726"</f>
        <v>00163726</v>
      </c>
    </row>
    <row r="912" spans="1:2" x14ac:dyDescent="0.25">
      <c r="A912" s="3">
        <v>907</v>
      </c>
      <c r="B912" s="3" t="str">
        <f>"00165737"</f>
        <v>00165737</v>
      </c>
    </row>
    <row r="913" spans="1:2" x14ac:dyDescent="0.25">
      <c r="A913" s="3">
        <v>908</v>
      </c>
      <c r="B913" s="3" t="str">
        <f>"00166028"</f>
        <v>00166028</v>
      </c>
    </row>
    <row r="914" spans="1:2" x14ac:dyDescent="0.25">
      <c r="A914" s="3">
        <v>909</v>
      </c>
      <c r="B914" s="3" t="str">
        <f>"00167510"</f>
        <v>00167510</v>
      </c>
    </row>
    <row r="915" spans="1:2" x14ac:dyDescent="0.25">
      <c r="A915" s="3">
        <v>910</v>
      </c>
      <c r="B915" s="3" t="str">
        <f>"00169249"</f>
        <v>00169249</v>
      </c>
    </row>
    <row r="916" spans="1:2" x14ac:dyDescent="0.25">
      <c r="A916" s="3">
        <v>911</v>
      </c>
      <c r="B916" s="3" t="str">
        <f>"00170193"</f>
        <v>00170193</v>
      </c>
    </row>
    <row r="917" spans="1:2" x14ac:dyDescent="0.25">
      <c r="A917" s="3">
        <v>912</v>
      </c>
      <c r="B917" s="3" t="str">
        <f>"00170566"</f>
        <v>00170566</v>
      </c>
    </row>
    <row r="918" spans="1:2" x14ac:dyDescent="0.25">
      <c r="A918" s="3">
        <v>913</v>
      </c>
      <c r="B918" s="3" t="str">
        <f>"00171842"</f>
        <v>00171842</v>
      </c>
    </row>
    <row r="919" spans="1:2" x14ac:dyDescent="0.25">
      <c r="A919" s="3">
        <v>914</v>
      </c>
      <c r="B919" s="3" t="str">
        <f>"00173746"</f>
        <v>00173746</v>
      </c>
    </row>
    <row r="920" spans="1:2" x14ac:dyDescent="0.25">
      <c r="A920" s="3">
        <v>915</v>
      </c>
      <c r="B920" s="3" t="str">
        <f>"00173785"</f>
        <v>00173785</v>
      </c>
    </row>
    <row r="921" spans="1:2" x14ac:dyDescent="0.25">
      <c r="A921" s="3">
        <v>916</v>
      </c>
      <c r="B921" s="3" t="str">
        <f>"00175815"</f>
        <v>00175815</v>
      </c>
    </row>
    <row r="922" spans="1:2" x14ac:dyDescent="0.25">
      <c r="A922" s="3">
        <v>917</v>
      </c>
      <c r="B922" s="3" t="str">
        <f>"00175902"</f>
        <v>00175902</v>
      </c>
    </row>
    <row r="923" spans="1:2" x14ac:dyDescent="0.25">
      <c r="A923" s="3">
        <v>918</v>
      </c>
      <c r="B923" s="3" t="str">
        <f>"00176601"</f>
        <v>00176601</v>
      </c>
    </row>
    <row r="924" spans="1:2" x14ac:dyDescent="0.25">
      <c r="A924" s="3">
        <v>919</v>
      </c>
      <c r="B924" s="3" t="str">
        <f>"00176607"</f>
        <v>00176607</v>
      </c>
    </row>
    <row r="925" spans="1:2" x14ac:dyDescent="0.25">
      <c r="A925" s="3">
        <v>920</v>
      </c>
      <c r="B925" s="3" t="str">
        <f>"00176674"</f>
        <v>00176674</v>
      </c>
    </row>
    <row r="926" spans="1:2" x14ac:dyDescent="0.25">
      <c r="A926" s="3">
        <v>921</v>
      </c>
      <c r="B926" s="3" t="str">
        <f>"00185505"</f>
        <v>00185505</v>
      </c>
    </row>
    <row r="927" spans="1:2" x14ac:dyDescent="0.25">
      <c r="A927" s="3">
        <v>922</v>
      </c>
      <c r="B927" s="3" t="str">
        <f>"00186127"</f>
        <v>00186127</v>
      </c>
    </row>
    <row r="928" spans="1:2" x14ac:dyDescent="0.25">
      <c r="A928" s="3">
        <v>923</v>
      </c>
      <c r="B928" s="3" t="str">
        <f>"00186315"</f>
        <v>00186315</v>
      </c>
    </row>
    <row r="929" spans="1:2" x14ac:dyDescent="0.25">
      <c r="A929" s="3">
        <v>924</v>
      </c>
      <c r="B929" s="3" t="str">
        <f>"00186511"</f>
        <v>00186511</v>
      </c>
    </row>
    <row r="930" spans="1:2" x14ac:dyDescent="0.25">
      <c r="A930" s="3">
        <v>925</v>
      </c>
      <c r="B930" s="3" t="str">
        <f>"00186965"</f>
        <v>00186965</v>
      </c>
    </row>
    <row r="931" spans="1:2" x14ac:dyDescent="0.25">
      <c r="A931" s="3">
        <v>926</v>
      </c>
      <c r="B931" s="3" t="str">
        <f>"00187084"</f>
        <v>00187084</v>
      </c>
    </row>
    <row r="932" spans="1:2" x14ac:dyDescent="0.25">
      <c r="A932" s="3">
        <v>927</v>
      </c>
      <c r="B932" s="3" t="str">
        <f>"00187947"</f>
        <v>00187947</v>
      </c>
    </row>
    <row r="933" spans="1:2" x14ac:dyDescent="0.25">
      <c r="A933" s="3">
        <v>928</v>
      </c>
      <c r="B933" s="3" t="str">
        <f>"00187961"</f>
        <v>00187961</v>
      </c>
    </row>
    <row r="934" spans="1:2" x14ac:dyDescent="0.25">
      <c r="A934" s="3">
        <v>929</v>
      </c>
      <c r="B934" s="3" t="str">
        <f>"00188175"</f>
        <v>00188175</v>
      </c>
    </row>
    <row r="935" spans="1:2" x14ac:dyDescent="0.25">
      <c r="A935" s="3">
        <v>930</v>
      </c>
      <c r="B935" s="3" t="str">
        <f>"00188536"</f>
        <v>00188536</v>
      </c>
    </row>
    <row r="936" spans="1:2" x14ac:dyDescent="0.25">
      <c r="A936" s="3">
        <v>931</v>
      </c>
      <c r="B936" s="3" t="str">
        <f>"00190089"</f>
        <v>00190089</v>
      </c>
    </row>
    <row r="937" spans="1:2" x14ac:dyDescent="0.25">
      <c r="A937" s="3">
        <v>932</v>
      </c>
      <c r="B937" s="3" t="str">
        <f>"00190578"</f>
        <v>00190578</v>
      </c>
    </row>
    <row r="938" spans="1:2" x14ac:dyDescent="0.25">
      <c r="A938" s="3">
        <v>933</v>
      </c>
      <c r="B938" s="3" t="str">
        <f>"00190932"</f>
        <v>00190932</v>
      </c>
    </row>
    <row r="939" spans="1:2" x14ac:dyDescent="0.25">
      <c r="A939" s="3">
        <v>934</v>
      </c>
      <c r="B939" s="3" t="str">
        <f>"00191049"</f>
        <v>00191049</v>
      </c>
    </row>
    <row r="940" spans="1:2" x14ac:dyDescent="0.25">
      <c r="A940" s="3">
        <v>935</v>
      </c>
      <c r="B940" s="3" t="str">
        <f>"00191709"</f>
        <v>00191709</v>
      </c>
    </row>
    <row r="941" spans="1:2" x14ac:dyDescent="0.25">
      <c r="A941" s="3">
        <v>936</v>
      </c>
      <c r="B941" s="3" t="str">
        <f>"00191976"</f>
        <v>00191976</v>
      </c>
    </row>
    <row r="942" spans="1:2" x14ac:dyDescent="0.25">
      <c r="A942" s="3">
        <v>937</v>
      </c>
      <c r="B942" s="3" t="str">
        <f>"00192048"</f>
        <v>00192048</v>
      </c>
    </row>
    <row r="943" spans="1:2" x14ac:dyDescent="0.25">
      <c r="A943" s="3">
        <v>938</v>
      </c>
      <c r="B943" s="3" t="str">
        <f>"00192336"</f>
        <v>00192336</v>
      </c>
    </row>
    <row r="944" spans="1:2" x14ac:dyDescent="0.25">
      <c r="A944" s="3">
        <v>939</v>
      </c>
      <c r="B944" s="3" t="str">
        <f>"00193688"</f>
        <v>00193688</v>
      </c>
    </row>
    <row r="945" spans="1:2" x14ac:dyDescent="0.25">
      <c r="A945" s="3">
        <v>940</v>
      </c>
      <c r="B945" s="3" t="str">
        <f>"00193921"</f>
        <v>00193921</v>
      </c>
    </row>
    <row r="946" spans="1:2" x14ac:dyDescent="0.25">
      <c r="A946" s="3">
        <v>941</v>
      </c>
      <c r="B946" s="3" t="str">
        <f>"00194019"</f>
        <v>00194019</v>
      </c>
    </row>
    <row r="947" spans="1:2" x14ac:dyDescent="0.25">
      <c r="A947" s="3">
        <v>942</v>
      </c>
      <c r="B947" s="3" t="str">
        <f>"00196379"</f>
        <v>00196379</v>
      </c>
    </row>
    <row r="948" spans="1:2" x14ac:dyDescent="0.25">
      <c r="A948" s="3">
        <v>943</v>
      </c>
      <c r="B948" s="3" t="str">
        <f>"00196814"</f>
        <v>00196814</v>
      </c>
    </row>
    <row r="949" spans="1:2" x14ac:dyDescent="0.25">
      <c r="A949" s="3">
        <v>944</v>
      </c>
      <c r="B949" s="3" t="str">
        <f>"00196942"</f>
        <v>00196942</v>
      </c>
    </row>
    <row r="950" spans="1:2" x14ac:dyDescent="0.25">
      <c r="A950" s="3">
        <v>945</v>
      </c>
      <c r="B950" s="3" t="str">
        <f>"00197411"</f>
        <v>00197411</v>
      </c>
    </row>
    <row r="951" spans="1:2" x14ac:dyDescent="0.25">
      <c r="A951" s="3">
        <v>946</v>
      </c>
      <c r="B951" s="3" t="str">
        <f>"00197460"</f>
        <v>00197460</v>
      </c>
    </row>
    <row r="952" spans="1:2" x14ac:dyDescent="0.25">
      <c r="A952" s="3">
        <v>947</v>
      </c>
      <c r="B952" s="3" t="str">
        <f>"00197667"</f>
        <v>00197667</v>
      </c>
    </row>
    <row r="953" spans="1:2" x14ac:dyDescent="0.25">
      <c r="A953" s="3">
        <v>948</v>
      </c>
      <c r="B953" s="3" t="str">
        <f>"00198464"</f>
        <v>00198464</v>
      </c>
    </row>
    <row r="954" spans="1:2" x14ac:dyDescent="0.25">
      <c r="A954" s="3">
        <v>949</v>
      </c>
      <c r="B954" s="3" t="str">
        <f>"00199232"</f>
        <v>00199232</v>
      </c>
    </row>
    <row r="955" spans="1:2" x14ac:dyDescent="0.25">
      <c r="A955" s="3">
        <v>950</v>
      </c>
      <c r="B955" s="3" t="str">
        <f>"00199705"</f>
        <v>00199705</v>
      </c>
    </row>
    <row r="956" spans="1:2" x14ac:dyDescent="0.25">
      <c r="A956" s="3">
        <v>951</v>
      </c>
      <c r="B956" s="3" t="str">
        <f>"00200267"</f>
        <v>00200267</v>
      </c>
    </row>
    <row r="957" spans="1:2" x14ac:dyDescent="0.25">
      <c r="A957" s="3">
        <v>952</v>
      </c>
      <c r="B957" s="3" t="str">
        <f>"00200523"</f>
        <v>00200523</v>
      </c>
    </row>
    <row r="958" spans="1:2" x14ac:dyDescent="0.25">
      <c r="A958" s="3">
        <v>953</v>
      </c>
      <c r="B958" s="3" t="str">
        <f>"00200686"</f>
        <v>00200686</v>
      </c>
    </row>
    <row r="959" spans="1:2" x14ac:dyDescent="0.25">
      <c r="A959" s="3">
        <v>954</v>
      </c>
      <c r="B959" s="3" t="str">
        <f>"00202031"</f>
        <v>00202031</v>
      </c>
    </row>
    <row r="960" spans="1:2" x14ac:dyDescent="0.25">
      <c r="A960" s="3">
        <v>955</v>
      </c>
      <c r="B960" s="3" t="str">
        <f>"00202148"</f>
        <v>00202148</v>
      </c>
    </row>
    <row r="961" spans="1:2" x14ac:dyDescent="0.25">
      <c r="A961" s="3">
        <v>956</v>
      </c>
      <c r="B961" s="3" t="str">
        <f>"00202182"</f>
        <v>00202182</v>
      </c>
    </row>
    <row r="962" spans="1:2" x14ac:dyDescent="0.25">
      <c r="A962" s="3">
        <v>957</v>
      </c>
      <c r="B962" s="3" t="str">
        <f>"00202523"</f>
        <v>00202523</v>
      </c>
    </row>
    <row r="963" spans="1:2" x14ac:dyDescent="0.25">
      <c r="A963" s="3">
        <v>958</v>
      </c>
      <c r="B963" s="3" t="str">
        <f>"00203223"</f>
        <v>00203223</v>
      </c>
    </row>
    <row r="964" spans="1:2" x14ac:dyDescent="0.25">
      <c r="A964" s="3">
        <v>959</v>
      </c>
      <c r="B964" s="3" t="str">
        <f>"00203399"</f>
        <v>00203399</v>
      </c>
    </row>
    <row r="965" spans="1:2" x14ac:dyDescent="0.25">
      <c r="A965" s="3">
        <v>960</v>
      </c>
      <c r="B965" s="3" t="str">
        <f>"00203406"</f>
        <v>00203406</v>
      </c>
    </row>
    <row r="966" spans="1:2" x14ac:dyDescent="0.25">
      <c r="A966" s="3">
        <v>961</v>
      </c>
      <c r="B966" s="3" t="str">
        <f>"00206117"</f>
        <v>00206117</v>
      </c>
    </row>
    <row r="967" spans="1:2" x14ac:dyDescent="0.25">
      <c r="A967" s="3">
        <v>962</v>
      </c>
      <c r="B967" s="3" t="str">
        <f>"00206298"</f>
        <v>00206298</v>
      </c>
    </row>
    <row r="968" spans="1:2" x14ac:dyDescent="0.25">
      <c r="A968" s="3">
        <v>963</v>
      </c>
      <c r="B968" s="3" t="str">
        <f>"00206300"</f>
        <v>00206300</v>
      </c>
    </row>
    <row r="969" spans="1:2" x14ac:dyDescent="0.25">
      <c r="A969" s="3">
        <v>964</v>
      </c>
      <c r="B969" s="3" t="str">
        <f>"00206499"</f>
        <v>00206499</v>
      </c>
    </row>
    <row r="970" spans="1:2" x14ac:dyDescent="0.25">
      <c r="A970" s="3">
        <v>965</v>
      </c>
      <c r="B970" s="3" t="str">
        <f>"00207104"</f>
        <v>00207104</v>
      </c>
    </row>
    <row r="971" spans="1:2" x14ac:dyDescent="0.25">
      <c r="A971" s="3">
        <v>966</v>
      </c>
      <c r="B971" s="3" t="str">
        <f>"00207348"</f>
        <v>00207348</v>
      </c>
    </row>
    <row r="972" spans="1:2" x14ac:dyDescent="0.25">
      <c r="A972" s="3">
        <v>967</v>
      </c>
      <c r="B972" s="3" t="str">
        <f>"00207644"</f>
        <v>00207644</v>
      </c>
    </row>
    <row r="973" spans="1:2" x14ac:dyDescent="0.25">
      <c r="A973" s="3">
        <v>968</v>
      </c>
      <c r="B973" s="3" t="str">
        <f>"00207649"</f>
        <v>00207649</v>
      </c>
    </row>
    <row r="974" spans="1:2" x14ac:dyDescent="0.25">
      <c r="A974" s="3">
        <v>969</v>
      </c>
      <c r="B974" s="3" t="str">
        <f>"00208569"</f>
        <v>00208569</v>
      </c>
    </row>
    <row r="975" spans="1:2" x14ac:dyDescent="0.25">
      <c r="A975" s="3">
        <v>970</v>
      </c>
      <c r="B975" s="3" t="str">
        <f>"00208737"</f>
        <v>00208737</v>
      </c>
    </row>
    <row r="976" spans="1:2" x14ac:dyDescent="0.25">
      <c r="A976" s="3">
        <v>971</v>
      </c>
      <c r="B976" s="3" t="str">
        <f>"00208906"</f>
        <v>00208906</v>
      </c>
    </row>
    <row r="977" spans="1:2" x14ac:dyDescent="0.25">
      <c r="A977" s="3">
        <v>972</v>
      </c>
      <c r="B977" s="3" t="str">
        <f>"00209663"</f>
        <v>00209663</v>
      </c>
    </row>
    <row r="978" spans="1:2" x14ac:dyDescent="0.25">
      <c r="A978" s="3">
        <v>973</v>
      </c>
      <c r="B978" s="3" t="str">
        <f>"00209868"</f>
        <v>00209868</v>
      </c>
    </row>
    <row r="979" spans="1:2" x14ac:dyDescent="0.25">
      <c r="A979" s="3">
        <v>974</v>
      </c>
      <c r="B979" s="3" t="str">
        <f>"00209928"</f>
        <v>00209928</v>
      </c>
    </row>
    <row r="980" spans="1:2" x14ac:dyDescent="0.25">
      <c r="A980" s="3">
        <v>975</v>
      </c>
      <c r="B980" s="3" t="str">
        <f>"00209966"</f>
        <v>00209966</v>
      </c>
    </row>
    <row r="981" spans="1:2" x14ac:dyDescent="0.25">
      <c r="A981" s="3">
        <v>976</v>
      </c>
      <c r="B981" s="3" t="str">
        <f>"00209970"</f>
        <v>00209970</v>
      </c>
    </row>
    <row r="982" spans="1:2" x14ac:dyDescent="0.25">
      <c r="A982" s="3">
        <v>977</v>
      </c>
      <c r="B982" s="3" t="str">
        <f>"00210104"</f>
        <v>00210104</v>
      </c>
    </row>
    <row r="983" spans="1:2" x14ac:dyDescent="0.25">
      <c r="A983" s="3">
        <v>978</v>
      </c>
      <c r="B983" s="3" t="str">
        <f>"00210111"</f>
        <v>00210111</v>
      </c>
    </row>
    <row r="984" spans="1:2" x14ac:dyDescent="0.25">
      <c r="A984" s="3">
        <v>979</v>
      </c>
      <c r="B984" s="3" t="str">
        <f>"00210266"</f>
        <v>00210266</v>
      </c>
    </row>
    <row r="985" spans="1:2" x14ac:dyDescent="0.25">
      <c r="A985" s="3">
        <v>980</v>
      </c>
      <c r="B985" s="3" t="str">
        <f>"00210268"</f>
        <v>00210268</v>
      </c>
    </row>
    <row r="986" spans="1:2" x14ac:dyDescent="0.25">
      <c r="A986" s="3">
        <v>981</v>
      </c>
      <c r="B986" s="3" t="str">
        <f>"00210277"</f>
        <v>00210277</v>
      </c>
    </row>
    <row r="987" spans="1:2" x14ac:dyDescent="0.25">
      <c r="A987" s="3">
        <v>982</v>
      </c>
      <c r="B987" s="3" t="str">
        <f>"00210399"</f>
        <v>00210399</v>
      </c>
    </row>
    <row r="988" spans="1:2" x14ac:dyDescent="0.25">
      <c r="A988" s="3">
        <v>983</v>
      </c>
      <c r="B988" s="3" t="str">
        <f>"00210455"</f>
        <v>00210455</v>
      </c>
    </row>
    <row r="989" spans="1:2" x14ac:dyDescent="0.25">
      <c r="A989" s="3">
        <v>984</v>
      </c>
      <c r="B989" s="3" t="str">
        <f>"00210549"</f>
        <v>00210549</v>
      </c>
    </row>
    <row r="990" spans="1:2" x14ac:dyDescent="0.25">
      <c r="A990" s="3">
        <v>985</v>
      </c>
      <c r="B990" s="3" t="str">
        <f>"00210563"</f>
        <v>00210563</v>
      </c>
    </row>
    <row r="991" spans="1:2" x14ac:dyDescent="0.25">
      <c r="A991" s="3">
        <v>986</v>
      </c>
      <c r="B991" s="3" t="str">
        <f>"00211976"</f>
        <v>00211976</v>
      </c>
    </row>
    <row r="992" spans="1:2" x14ac:dyDescent="0.25">
      <c r="A992" s="3">
        <v>987</v>
      </c>
      <c r="B992" s="3" t="str">
        <f>"00212003"</f>
        <v>00212003</v>
      </c>
    </row>
    <row r="993" spans="1:2" x14ac:dyDescent="0.25">
      <c r="A993" s="3">
        <v>988</v>
      </c>
      <c r="B993" s="3" t="str">
        <f>"00212303"</f>
        <v>00212303</v>
      </c>
    </row>
    <row r="994" spans="1:2" x14ac:dyDescent="0.25">
      <c r="A994" s="3">
        <v>989</v>
      </c>
      <c r="B994" s="3" t="str">
        <f>"00213447"</f>
        <v>00213447</v>
      </c>
    </row>
    <row r="995" spans="1:2" x14ac:dyDescent="0.25">
      <c r="A995" s="3">
        <v>990</v>
      </c>
      <c r="B995" s="3" t="str">
        <f>"00216219"</f>
        <v>00216219</v>
      </c>
    </row>
    <row r="996" spans="1:2" x14ac:dyDescent="0.25">
      <c r="A996" s="3">
        <v>991</v>
      </c>
      <c r="B996" s="3" t="str">
        <f>"00216672"</f>
        <v>00216672</v>
      </c>
    </row>
    <row r="997" spans="1:2" x14ac:dyDescent="0.25">
      <c r="A997" s="3">
        <v>992</v>
      </c>
      <c r="B997" s="3" t="str">
        <f>"00216905"</f>
        <v>00216905</v>
      </c>
    </row>
    <row r="998" spans="1:2" x14ac:dyDescent="0.25">
      <c r="A998" s="3">
        <v>993</v>
      </c>
      <c r="B998" s="3" t="str">
        <f>"00217928"</f>
        <v>00217928</v>
      </c>
    </row>
    <row r="999" spans="1:2" x14ac:dyDescent="0.25">
      <c r="A999" s="3">
        <v>994</v>
      </c>
      <c r="B999" s="3" t="str">
        <f>"00217954"</f>
        <v>00217954</v>
      </c>
    </row>
    <row r="1000" spans="1:2" x14ac:dyDescent="0.25">
      <c r="A1000" s="3">
        <v>995</v>
      </c>
      <c r="B1000" s="3" t="str">
        <f>"00219159"</f>
        <v>00219159</v>
      </c>
    </row>
    <row r="1001" spans="1:2" x14ac:dyDescent="0.25">
      <c r="A1001" s="3">
        <v>996</v>
      </c>
      <c r="B1001" s="3" t="str">
        <f>"00219727"</f>
        <v>00219727</v>
      </c>
    </row>
    <row r="1002" spans="1:2" x14ac:dyDescent="0.25">
      <c r="A1002" s="3">
        <v>997</v>
      </c>
      <c r="B1002" s="3" t="str">
        <f>"00220027"</f>
        <v>00220027</v>
      </c>
    </row>
    <row r="1003" spans="1:2" x14ac:dyDescent="0.25">
      <c r="A1003" s="3">
        <v>998</v>
      </c>
      <c r="B1003" s="3" t="str">
        <f>"00220336"</f>
        <v>00220336</v>
      </c>
    </row>
    <row r="1004" spans="1:2" x14ac:dyDescent="0.25">
      <c r="A1004" s="3">
        <v>999</v>
      </c>
      <c r="B1004" s="3" t="str">
        <f>"00220534"</f>
        <v>00220534</v>
      </c>
    </row>
    <row r="1005" spans="1:2" x14ac:dyDescent="0.25">
      <c r="A1005" s="3">
        <v>1000</v>
      </c>
      <c r="B1005" s="3" t="str">
        <f>"00220784"</f>
        <v>00220784</v>
      </c>
    </row>
    <row r="1006" spans="1:2" x14ac:dyDescent="0.25">
      <c r="A1006" s="3">
        <v>1001</v>
      </c>
      <c r="B1006" s="3" t="str">
        <f>"00220968"</f>
        <v>00220968</v>
      </c>
    </row>
    <row r="1007" spans="1:2" x14ac:dyDescent="0.25">
      <c r="A1007" s="3">
        <v>1002</v>
      </c>
      <c r="B1007" s="3" t="str">
        <f>"00221480"</f>
        <v>00221480</v>
      </c>
    </row>
    <row r="1008" spans="1:2" x14ac:dyDescent="0.25">
      <c r="A1008" s="3">
        <v>1003</v>
      </c>
      <c r="B1008" s="3" t="str">
        <f>"00222179"</f>
        <v>00222179</v>
      </c>
    </row>
    <row r="1009" spans="1:2" x14ac:dyDescent="0.25">
      <c r="A1009" s="3">
        <v>1004</v>
      </c>
      <c r="B1009" s="3" t="str">
        <f>"00222226"</f>
        <v>00222226</v>
      </c>
    </row>
    <row r="1010" spans="1:2" x14ac:dyDescent="0.25">
      <c r="A1010" s="3">
        <v>1005</v>
      </c>
      <c r="B1010" s="3" t="str">
        <f>"00222661"</f>
        <v>00222661</v>
      </c>
    </row>
    <row r="1011" spans="1:2" x14ac:dyDescent="0.25">
      <c r="A1011" s="3">
        <v>1006</v>
      </c>
      <c r="B1011" s="3" t="str">
        <f>"00222690"</f>
        <v>00222690</v>
      </c>
    </row>
    <row r="1012" spans="1:2" x14ac:dyDescent="0.25">
      <c r="A1012" s="3">
        <v>1007</v>
      </c>
      <c r="B1012" s="3" t="str">
        <f>"00222832"</f>
        <v>00222832</v>
      </c>
    </row>
    <row r="1013" spans="1:2" x14ac:dyDescent="0.25">
      <c r="A1013" s="3">
        <v>1008</v>
      </c>
      <c r="B1013" s="3" t="str">
        <f>"00223280"</f>
        <v>00223280</v>
      </c>
    </row>
    <row r="1014" spans="1:2" x14ac:dyDescent="0.25">
      <c r="A1014" s="3">
        <v>1009</v>
      </c>
      <c r="B1014" s="3" t="str">
        <f>"00223288"</f>
        <v>00223288</v>
      </c>
    </row>
    <row r="1015" spans="1:2" x14ac:dyDescent="0.25">
      <c r="A1015" s="3">
        <v>1010</v>
      </c>
      <c r="B1015" s="3" t="str">
        <f>"00223318"</f>
        <v>00223318</v>
      </c>
    </row>
    <row r="1016" spans="1:2" x14ac:dyDescent="0.25">
      <c r="A1016" s="3">
        <v>1011</v>
      </c>
      <c r="B1016" s="3" t="str">
        <f>"00223683"</f>
        <v>00223683</v>
      </c>
    </row>
    <row r="1017" spans="1:2" x14ac:dyDescent="0.25">
      <c r="A1017" s="3">
        <v>1012</v>
      </c>
      <c r="B1017" s="3" t="str">
        <f>"00223684"</f>
        <v>00223684</v>
      </c>
    </row>
    <row r="1018" spans="1:2" x14ac:dyDescent="0.25">
      <c r="A1018" s="3">
        <v>1013</v>
      </c>
      <c r="B1018" s="3" t="str">
        <f>"00223730"</f>
        <v>00223730</v>
      </c>
    </row>
    <row r="1019" spans="1:2" x14ac:dyDescent="0.25">
      <c r="A1019" s="3">
        <v>1014</v>
      </c>
      <c r="B1019" s="3" t="str">
        <f>"00223868"</f>
        <v>00223868</v>
      </c>
    </row>
    <row r="1020" spans="1:2" x14ac:dyDescent="0.25">
      <c r="A1020" s="3">
        <v>1015</v>
      </c>
      <c r="B1020" s="3" t="str">
        <f>"00223877"</f>
        <v>00223877</v>
      </c>
    </row>
    <row r="1021" spans="1:2" x14ac:dyDescent="0.25">
      <c r="A1021" s="3">
        <v>1016</v>
      </c>
      <c r="B1021" s="3" t="str">
        <f>"00223970"</f>
        <v>00223970</v>
      </c>
    </row>
    <row r="1022" spans="1:2" x14ac:dyDescent="0.25">
      <c r="A1022" s="3">
        <v>1017</v>
      </c>
      <c r="B1022" s="3" t="str">
        <f>"00224023"</f>
        <v>00224023</v>
      </c>
    </row>
    <row r="1023" spans="1:2" x14ac:dyDescent="0.25">
      <c r="A1023" s="3">
        <v>1018</v>
      </c>
      <c r="B1023" s="3" t="str">
        <f>"00224035"</f>
        <v>00224035</v>
      </c>
    </row>
    <row r="1024" spans="1:2" x14ac:dyDescent="0.25">
      <c r="A1024" s="3">
        <v>1019</v>
      </c>
      <c r="B1024" s="3" t="str">
        <f>"00224036"</f>
        <v>00224036</v>
      </c>
    </row>
    <row r="1025" spans="1:2" x14ac:dyDescent="0.25">
      <c r="A1025" s="3">
        <v>1020</v>
      </c>
      <c r="B1025" s="3" t="str">
        <f>"00224052"</f>
        <v>00224052</v>
      </c>
    </row>
    <row r="1026" spans="1:2" x14ac:dyDescent="0.25">
      <c r="A1026" s="3">
        <v>1021</v>
      </c>
      <c r="B1026" s="3" t="str">
        <f>"00224055"</f>
        <v>00224055</v>
      </c>
    </row>
    <row r="1027" spans="1:2" x14ac:dyDescent="0.25">
      <c r="A1027" s="3">
        <v>1022</v>
      </c>
      <c r="B1027" s="3" t="str">
        <f>"00224163"</f>
        <v>00224163</v>
      </c>
    </row>
    <row r="1028" spans="1:2" x14ac:dyDescent="0.25">
      <c r="A1028" s="3">
        <v>1023</v>
      </c>
      <c r="B1028" s="3" t="str">
        <f>"00224265"</f>
        <v>00224265</v>
      </c>
    </row>
    <row r="1029" spans="1:2" x14ac:dyDescent="0.25">
      <c r="A1029" s="3">
        <v>1024</v>
      </c>
      <c r="B1029" s="3" t="str">
        <f>"00224405"</f>
        <v>00224405</v>
      </c>
    </row>
    <row r="1030" spans="1:2" x14ac:dyDescent="0.25">
      <c r="A1030" s="3">
        <v>1025</v>
      </c>
      <c r="B1030" s="3" t="str">
        <f>"00224448"</f>
        <v>00224448</v>
      </c>
    </row>
    <row r="1031" spans="1:2" x14ac:dyDescent="0.25">
      <c r="A1031" s="3">
        <v>1026</v>
      </c>
      <c r="B1031" s="3" t="str">
        <f>"00224480"</f>
        <v>00224480</v>
      </c>
    </row>
    <row r="1032" spans="1:2" x14ac:dyDescent="0.25">
      <c r="A1032" s="3">
        <v>1027</v>
      </c>
      <c r="B1032" s="3" t="str">
        <f>"00224514"</f>
        <v>00224514</v>
      </c>
    </row>
    <row r="1033" spans="1:2" x14ac:dyDescent="0.25">
      <c r="A1033" s="3">
        <v>1028</v>
      </c>
      <c r="B1033" s="3" t="str">
        <f>"00224594"</f>
        <v>00224594</v>
      </c>
    </row>
    <row r="1034" spans="1:2" x14ac:dyDescent="0.25">
      <c r="A1034" s="3">
        <v>1029</v>
      </c>
      <c r="B1034" s="3" t="str">
        <f>"00224658"</f>
        <v>00224658</v>
      </c>
    </row>
    <row r="1035" spans="1:2" x14ac:dyDescent="0.25">
      <c r="A1035" s="3">
        <v>1030</v>
      </c>
      <c r="B1035" s="3" t="str">
        <f>"00224695"</f>
        <v>00224695</v>
      </c>
    </row>
    <row r="1036" spans="1:2" x14ac:dyDescent="0.25">
      <c r="A1036" s="3">
        <v>1031</v>
      </c>
      <c r="B1036" s="3" t="str">
        <f>"00224769"</f>
        <v>00224769</v>
      </c>
    </row>
    <row r="1037" spans="1:2" x14ac:dyDescent="0.25">
      <c r="A1037" s="3">
        <v>1032</v>
      </c>
      <c r="B1037" s="3" t="str">
        <f>"00224773"</f>
        <v>00224773</v>
      </c>
    </row>
    <row r="1038" spans="1:2" x14ac:dyDescent="0.25">
      <c r="A1038" s="3">
        <v>1033</v>
      </c>
      <c r="B1038" s="3" t="str">
        <f>"00224921"</f>
        <v>00224921</v>
      </c>
    </row>
    <row r="1039" spans="1:2" x14ac:dyDescent="0.25">
      <c r="A1039" s="3">
        <v>1034</v>
      </c>
      <c r="B1039" s="3" t="str">
        <f>"00225286"</f>
        <v>00225286</v>
      </c>
    </row>
    <row r="1040" spans="1:2" x14ac:dyDescent="0.25">
      <c r="A1040" s="3">
        <v>1035</v>
      </c>
      <c r="B1040" s="3" t="str">
        <f>"00225357"</f>
        <v>00225357</v>
      </c>
    </row>
    <row r="1041" spans="1:2" x14ac:dyDescent="0.25">
      <c r="A1041" s="3">
        <v>1036</v>
      </c>
      <c r="B1041" s="3" t="str">
        <f>"00225490"</f>
        <v>00225490</v>
      </c>
    </row>
    <row r="1042" spans="1:2" x14ac:dyDescent="0.25">
      <c r="A1042" s="3">
        <v>1037</v>
      </c>
      <c r="B1042" s="3" t="str">
        <f>"00225515"</f>
        <v>00225515</v>
      </c>
    </row>
    <row r="1043" spans="1:2" x14ac:dyDescent="0.25">
      <c r="A1043" s="3">
        <v>1038</v>
      </c>
      <c r="B1043" s="3" t="str">
        <f>"00225736"</f>
        <v>00225736</v>
      </c>
    </row>
    <row r="1044" spans="1:2" x14ac:dyDescent="0.25">
      <c r="A1044" s="3">
        <v>1039</v>
      </c>
      <c r="B1044" s="3" t="str">
        <f>"00225803"</f>
        <v>00225803</v>
      </c>
    </row>
    <row r="1045" spans="1:2" x14ac:dyDescent="0.25">
      <c r="A1045" s="3">
        <v>1040</v>
      </c>
      <c r="B1045" s="3" t="str">
        <f>"00225879"</f>
        <v>00225879</v>
      </c>
    </row>
    <row r="1046" spans="1:2" x14ac:dyDescent="0.25">
      <c r="A1046" s="3">
        <v>1041</v>
      </c>
      <c r="B1046" s="3" t="str">
        <f>"00226524"</f>
        <v>00226524</v>
      </c>
    </row>
    <row r="1047" spans="1:2" x14ac:dyDescent="0.25">
      <c r="A1047" s="3">
        <v>1042</v>
      </c>
      <c r="B1047" s="3" t="str">
        <f>"00226549"</f>
        <v>00226549</v>
      </c>
    </row>
    <row r="1048" spans="1:2" x14ac:dyDescent="0.25">
      <c r="A1048" s="3">
        <v>1043</v>
      </c>
      <c r="B1048" s="3" t="str">
        <f>"00226612"</f>
        <v>00226612</v>
      </c>
    </row>
    <row r="1049" spans="1:2" x14ac:dyDescent="0.25">
      <c r="A1049" s="3">
        <v>1044</v>
      </c>
      <c r="B1049" s="3" t="str">
        <f>"00226872"</f>
        <v>00226872</v>
      </c>
    </row>
    <row r="1050" spans="1:2" x14ac:dyDescent="0.25">
      <c r="A1050" s="3">
        <v>1045</v>
      </c>
      <c r="B1050" s="3" t="str">
        <f>"00226911"</f>
        <v>00226911</v>
      </c>
    </row>
    <row r="1051" spans="1:2" x14ac:dyDescent="0.25">
      <c r="A1051" s="3">
        <v>1046</v>
      </c>
      <c r="B1051" s="3" t="str">
        <f>"00227010"</f>
        <v>00227010</v>
      </c>
    </row>
    <row r="1052" spans="1:2" x14ac:dyDescent="0.25">
      <c r="A1052" s="3">
        <v>1047</v>
      </c>
      <c r="B1052" s="3" t="str">
        <f>"00227153"</f>
        <v>00227153</v>
      </c>
    </row>
    <row r="1053" spans="1:2" x14ac:dyDescent="0.25">
      <c r="A1053" s="3">
        <v>1048</v>
      </c>
      <c r="B1053" s="3" t="str">
        <f>"00227228"</f>
        <v>00227228</v>
      </c>
    </row>
    <row r="1054" spans="1:2" x14ac:dyDescent="0.25">
      <c r="A1054" s="3">
        <v>1049</v>
      </c>
      <c r="B1054" s="3" t="str">
        <f>"00227540"</f>
        <v>00227540</v>
      </c>
    </row>
    <row r="1055" spans="1:2" x14ac:dyDescent="0.25">
      <c r="A1055" s="3">
        <v>1050</v>
      </c>
      <c r="B1055" s="3" t="str">
        <f>"00227597"</f>
        <v>00227597</v>
      </c>
    </row>
    <row r="1056" spans="1:2" x14ac:dyDescent="0.25">
      <c r="A1056" s="3">
        <v>1051</v>
      </c>
      <c r="B1056" s="3" t="str">
        <f>"00227716"</f>
        <v>00227716</v>
      </c>
    </row>
    <row r="1057" spans="1:2" x14ac:dyDescent="0.25">
      <c r="A1057" s="3">
        <v>1052</v>
      </c>
      <c r="B1057" s="3" t="str">
        <f>"00227752"</f>
        <v>00227752</v>
      </c>
    </row>
    <row r="1058" spans="1:2" x14ac:dyDescent="0.25">
      <c r="A1058" s="3">
        <v>1053</v>
      </c>
      <c r="B1058" s="3" t="str">
        <f>"00227764"</f>
        <v>00227764</v>
      </c>
    </row>
    <row r="1059" spans="1:2" x14ac:dyDescent="0.25">
      <c r="A1059" s="3">
        <v>1054</v>
      </c>
      <c r="B1059" s="3" t="str">
        <f>"00228077"</f>
        <v>00228077</v>
      </c>
    </row>
    <row r="1060" spans="1:2" x14ac:dyDescent="0.25">
      <c r="A1060" s="3">
        <v>1055</v>
      </c>
      <c r="B1060" s="3" t="str">
        <f>"00228094"</f>
        <v>00228094</v>
      </c>
    </row>
    <row r="1061" spans="1:2" x14ac:dyDescent="0.25">
      <c r="A1061" s="3">
        <v>1056</v>
      </c>
      <c r="B1061" s="3" t="str">
        <f>"00228581"</f>
        <v>00228581</v>
      </c>
    </row>
    <row r="1062" spans="1:2" x14ac:dyDescent="0.25">
      <c r="A1062" s="3">
        <v>1057</v>
      </c>
      <c r="B1062" s="3" t="str">
        <f>"00228590"</f>
        <v>00228590</v>
      </c>
    </row>
    <row r="1063" spans="1:2" x14ac:dyDescent="0.25">
      <c r="A1063" s="3">
        <v>1058</v>
      </c>
      <c r="B1063" s="3" t="str">
        <f>"00228605"</f>
        <v>00228605</v>
      </c>
    </row>
    <row r="1064" spans="1:2" x14ac:dyDescent="0.25">
      <c r="A1064" s="3">
        <v>1059</v>
      </c>
      <c r="B1064" s="3" t="str">
        <f>"00228641"</f>
        <v>00228641</v>
      </c>
    </row>
    <row r="1065" spans="1:2" x14ac:dyDescent="0.25">
      <c r="A1065" s="3">
        <v>1060</v>
      </c>
      <c r="B1065" s="3" t="str">
        <f>"00228663"</f>
        <v>00228663</v>
      </c>
    </row>
    <row r="1066" spans="1:2" x14ac:dyDescent="0.25">
      <c r="A1066" s="3">
        <v>1061</v>
      </c>
      <c r="B1066" s="3" t="str">
        <f>"00228738"</f>
        <v>00228738</v>
      </c>
    </row>
    <row r="1067" spans="1:2" x14ac:dyDescent="0.25">
      <c r="A1067" s="3">
        <v>1062</v>
      </c>
      <c r="B1067" s="3" t="str">
        <f>"00228781"</f>
        <v>00228781</v>
      </c>
    </row>
    <row r="1068" spans="1:2" x14ac:dyDescent="0.25">
      <c r="A1068" s="3">
        <v>1063</v>
      </c>
      <c r="B1068" s="3" t="str">
        <f>"00228858"</f>
        <v>00228858</v>
      </c>
    </row>
    <row r="1069" spans="1:2" x14ac:dyDescent="0.25">
      <c r="A1069" s="3">
        <v>1064</v>
      </c>
      <c r="B1069" s="3" t="str">
        <f>"00229025"</f>
        <v>00229025</v>
      </c>
    </row>
    <row r="1070" spans="1:2" x14ac:dyDescent="0.25">
      <c r="A1070" s="3">
        <v>1065</v>
      </c>
      <c r="B1070" s="3" t="str">
        <f>"00229035"</f>
        <v>00229035</v>
      </c>
    </row>
    <row r="1071" spans="1:2" x14ac:dyDescent="0.25">
      <c r="A1071" s="3">
        <v>1066</v>
      </c>
      <c r="B1071" s="3" t="str">
        <f>"00229072"</f>
        <v>00229072</v>
      </c>
    </row>
    <row r="1072" spans="1:2" x14ac:dyDescent="0.25">
      <c r="A1072" s="3">
        <v>1067</v>
      </c>
      <c r="B1072" s="3" t="str">
        <f>"00229079"</f>
        <v>00229079</v>
      </c>
    </row>
    <row r="1073" spans="1:2" x14ac:dyDescent="0.25">
      <c r="A1073" s="3">
        <v>1068</v>
      </c>
      <c r="B1073" s="3" t="str">
        <f>"00229114"</f>
        <v>00229114</v>
      </c>
    </row>
    <row r="1074" spans="1:2" x14ac:dyDescent="0.25">
      <c r="A1074" s="3">
        <v>1069</v>
      </c>
      <c r="B1074" s="3" t="str">
        <f>"00229281"</f>
        <v>00229281</v>
      </c>
    </row>
    <row r="1075" spans="1:2" x14ac:dyDescent="0.25">
      <c r="A1075" s="3">
        <v>1070</v>
      </c>
      <c r="B1075" s="3" t="str">
        <f>"00229283"</f>
        <v>00229283</v>
      </c>
    </row>
    <row r="1076" spans="1:2" x14ac:dyDescent="0.25">
      <c r="A1076" s="3">
        <v>1071</v>
      </c>
      <c r="B1076" s="3" t="str">
        <f>"00229440"</f>
        <v>00229440</v>
      </c>
    </row>
    <row r="1077" spans="1:2" x14ac:dyDescent="0.25">
      <c r="A1077" s="3">
        <v>1072</v>
      </c>
      <c r="B1077" s="3" t="str">
        <f>"00229567"</f>
        <v>00229567</v>
      </c>
    </row>
    <row r="1078" spans="1:2" x14ac:dyDescent="0.25">
      <c r="A1078" s="3">
        <v>1073</v>
      </c>
      <c r="B1078" s="3" t="str">
        <f>"00229638"</f>
        <v>00229638</v>
      </c>
    </row>
    <row r="1079" spans="1:2" x14ac:dyDescent="0.25">
      <c r="A1079" s="3">
        <v>1074</v>
      </c>
      <c r="B1079" s="3" t="str">
        <f>"00229705"</f>
        <v>00229705</v>
      </c>
    </row>
    <row r="1080" spans="1:2" x14ac:dyDescent="0.25">
      <c r="A1080" s="3">
        <v>1075</v>
      </c>
      <c r="B1080" s="3" t="str">
        <f>"00229716"</f>
        <v>00229716</v>
      </c>
    </row>
    <row r="1081" spans="1:2" x14ac:dyDescent="0.25">
      <c r="A1081" s="3">
        <v>1076</v>
      </c>
      <c r="B1081" s="3" t="str">
        <f>"00229800"</f>
        <v>00229800</v>
      </c>
    </row>
    <row r="1082" spans="1:2" x14ac:dyDescent="0.25">
      <c r="A1082" s="3">
        <v>1077</v>
      </c>
      <c r="B1082" s="3" t="str">
        <f>"00229855"</f>
        <v>00229855</v>
      </c>
    </row>
    <row r="1083" spans="1:2" x14ac:dyDescent="0.25">
      <c r="A1083" s="3">
        <v>1078</v>
      </c>
      <c r="B1083" s="3" t="str">
        <f>"00230010"</f>
        <v>00230010</v>
      </c>
    </row>
    <row r="1084" spans="1:2" x14ac:dyDescent="0.25">
      <c r="A1084" s="3">
        <v>1079</v>
      </c>
      <c r="B1084" s="3" t="str">
        <f>"00230282"</f>
        <v>00230282</v>
      </c>
    </row>
    <row r="1085" spans="1:2" x14ac:dyDescent="0.25">
      <c r="A1085" s="3">
        <v>1080</v>
      </c>
      <c r="B1085" s="3" t="str">
        <f>"00230698"</f>
        <v>00230698</v>
      </c>
    </row>
    <row r="1086" spans="1:2" x14ac:dyDescent="0.25">
      <c r="A1086" s="3">
        <v>1081</v>
      </c>
      <c r="B1086" s="3" t="str">
        <f>"00230892"</f>
        <v>00230892</v>
      </c>
    </row>
    <row r="1087" spans="1:2" x14ac:dyDescent="0.25">
      <c r="A1087" s="3">
        <v>1082</v>
      </c>
      <c r="B1087" s="3" t="str">
        <f>"00230989"</f>
        <v>00230989</v>
      </c>
    </row>
    <row r="1088" spans="1:2" x14ac:dyDescent="0.25">
      <c r="A1088" s="3">
        <v>1083</v>
      </c>
      <c r="B1088" s="3" t="str">
        <f>"00231455"</f>
        <v>00231455</v>
      </c>
    </row>
    <row r="1089" spans="1:2" x14ac:dyDescent="0.25">
      <c r="A1089" s="3">
        <v>1084</v>
      </c>
      <c r="B1089" s="3" t="str">
        <f>"00231493"</f>
        <v>00231493</v>
      </c>
    </row>
    <row r="1090" spans="1:2" x14ac:dyDescent="0.25">
      <c r="A1090" s="3">
        <v>1085</v>
      </c>
      <c r="B1090" s="3" t="str">
        <f>"00231553"</f>
        <v>00231553</v>
      </c>
    </row>
    <row r="1091" spans="1:2" x14ac:dyDescent="0.25">
      <c r="A1091" s="3">
        <v>1086</v>
      </c>
      <c r="B1091" s="3" t="str">
        <f>"00231836"</f>
        <v>00231836</v>
      </c>
    </row>
    <row r="1092" spans="1:2" x14ac:dyDescent="0.25">
      <c r="A1092" s="3">
        <v>1087</v>
      </c>
      <c r="B1092" s="3" t="str">
        <f>"00231986"</f>
        <v>00231986</v>
      </c>
    </row>
    <row r="1093" spans="1:2" x14ac:dyDescent="0.25">
      <c r="A1093" s="3">
        <v>1088</v>
      </c>
      <c r="B1093" s="3" t="str">
        <f>"00232114"</f>
        <v>00232114</v>
      </c>
    </row>
    <row r="1094" spans="1:2" x14ac:dyDescent="0.25">
      <c r="A1094" s="3">
        <v>1089</v>
      </c>
      <c r="B1094" s="3" t="str">
        <f>"00232658"</f>
        <v>00232658</v>
      </c>
    </row>
    <row r="1095" spans="1:2" x14ac:dyDescent="0.25">
      <c r="A1095" s="3">
        <v>1090</v>
      </c>
      <c r="B1095" s="3" t="str">
        <f>"00234083"</f>
        <v>00234083</v>
      </c>
    </row>
    <row r="1096" spans="1:2" x14ac:dyDescent="0.25">
      <c r="A1096" s="3">
        <v>1091</v>
      </c>
      <c r="B1096" s="3" t="str">
        <f>"00234584"</f>
        <v>00234584</v>
      </c>
    </row>
    <row r="1097" spans="1:2" x14ac:dyDescent="0.25">
      <c r="A1097" s="3">
        <v>1092</v>
      </c>
      <c r="B1097" s="3" t="str">
        <f>"00234830"</f>
        <v>00234830</v>
      </c>
    </row>
    <row r="1098" spans="1:2" x14ac:dyDescent="0.25">
      <c r="A1098" s="3">
        <v>1093</v>
      </c>
      <c r="B1098" s="3" t="str">
        <f>"00236352"</f>
        <v>00236352</v>
      </c>
    </row>
    <row r="1099" spans="1:2" x14ac:dyDescent="0.25">
      <c r="A1099" s="3">
        <v>1094</v>
      </c>
      <c r="B1099" s="3" t="str">
        <f>"00236456"</f>
        <v>00236456</v>
      </c>
    </row>
    <row r="1100" spans="1:2" x14ac:dyDescent="0.25">
      <c r="A1100" s="3">
        <v>1095</v>
      </c>
      <c r="B1100" s="3" t="str">
        <f>"00239803"</f>
        <v>00239803</v>
      </c>
    </row>
    <row r="1101" spans="1:2" x14ac:dyDescent="0.25">
      <c r="A1101" s="3">
        <v>1096</v>
      </c>
      <c r="B1101" s="3" t="str">
        <f>"00242206"</f>
        <v>00242206</v>
      </c>
    </row>
    <row r="1102" spans="1:2" x14ac:dyDescent="0.25">
      <c r="A1102" s="3">
        <v>1097</v>
      </c>
      <c r="B1102" s="3" t="str">
        <f>"00242315"</f>
        <v>00242315</v>
      </c>
    </row>
    <row r="1103" spans="1:2" x14ac:dyDescent="0.25">
      <c r="A1103" s="3">
        <v>1098</v>
      </c>
      <c r="B1103" s="3" t="str">
        <f>"00245612"</f>
        <v>00245612</v>
      </c>
    </row>
    <row r="1104" spans="1:2" x14ac:dyDescent="0.25">
      <c r="A1104" s="3">
        <v>1099</v>
      </c>
      <c r="B1104" s="3" t="str">
        <f>"00246565"</f>
        <v>00246565</v>
      </c>
    </row>
    <row r="1105" spans="1:2" x14ac:dyDescent="0.25">
      <c r="A1105" s="3">
        <v>1100</v>
      </c>
      <c r="B1105" s="3" t="str">
        <f>"00247233"</f>
        <v>00247233</v>
      </c>
    </row>
    <row r="1106" spans="1:2" x14ac:dyDescent="0.25">
      <c r="A1106" s="3">
        <v>1101</v>
      </c>
      <c r="B1106" s="3" t="str">
        <f>"00248010"</f>
        <v>00248010</v>
      </c>
    </row>
    <row r="1107" spans="1:2" x14ac:dyDescent="0.25">
      <c r="A1107" s="3">
        <v>1102</v>
      </c>
      <c r="B1107" s="3" t="str">
        <f>"00249693"</f>
        <v>00249693</v>
      </c>
    </row>
    <row r="1108" spans="1:2" x14ac:dyDescent="0.25">
      <c r="A1108" s="3">
        <v>1103</v>
      </c>
      <c r="B1108" s="3" t="str">
        <f>"00249787"</f>
        <v>00249787</v>
      </c>
    </row>
    <row r="1109" spans="1:2" x14ac:dyDescent="0.25">
      <c r="A1109" s="3">
        <v>1104</v>
      </c>
      <c r="B1109" s="3" t="str">
        <f>"00252167"</f>
        <v>00252167</v>
      </c>
    </row>
    <row r="1110" spans="1:2" x14ac:dyDescent="0.25">
      <c r="A1110" s="3">
        <v>1105</v>
      </c>
      <c r="B1110" s="3" t="str">
        <f>"00252336"</f>
        <v>00252336</v>
      </c>
    </row>
    <row r="1111" spans="1:2" x14ac:dyDescent="0.25">
      <c r="A1111" s="3">
        <v>1106</v>
      </c>
      <c r="B1111" s="3" t="str">
        <f>"00252446"</f>
        <v>00252446</v>
      </c>
    </row>
    <row r="1112" spans="1:2" x14ac:dyDescent="0.25">
      <c r="A1112" s="3">
        <v>1107</v>
      </c>
      <c r="B1112" s="3" t="str">
        <f>"00253684"</f>
        <v>00253684</v>
      </c>
    </row>
    <row r="1113" spans="1:2" x14ac:dyDescent="0.25">
      <c r="A1113" s="3">
        <v>1108</v>
      </c>
      <c r="B1113" s="3" t="str">
        <f>"00254483"</f>
        <v>00254483</v>
      </c>
    </row>
    <row r="1114" spans="1:2" x14ac:dyDescent="0.25">
      <c r="A1114" s="3">
        <v>1109</v>
      </c>
      <c r="B1114" s="3" t="str">
        <f>"00255128"</f>
        <v>00255128</v>
      </c>
    </row>
    <row r="1115" spans="1:2" x14ac:dyDescent="0.25">
      <c r="A1115" s="3">
        <v>1110</v>
      </c>
      <c r="B1115" s="3" t="str">
        <f>"00262066"</f>
        <v>00262066</v>
      </c>
    </row>
    <row r="1116" spans="1:2" x14ac:dyDescent="0.25">
      <c r="A1116" s="3">
        <v>1111</v>
      </c>
      <c r="B1116" s="3" t="str">
        <f>"00263935"</f>
        <v>00263935</v>
      </c>
    </row>
    <row r="1117" spans="1:2" x14ac:dyDescent="0.25">
      <c r="A1117" s="3">
        <v>1112</v>
      </c>
      <c r="B1117" s="3" t="str">
        <f>"00265340"</f>
        <v>00265340</v>
      </c>
    </row>
    <row r="1118" spans="1:2" x14ac:dyDescent="0.25">
      <c r="A1118" s="3">
        <v>1113</v>
      </c>
      <c r="B1118" s="3" t="str">
        <f>"00267391"</f>
        <v>00267391</v>
      </c>
    </row>
    <row r="1119" spans="1:2" x14ac:dyDescent="0.25">
      <c r="A1119" s="3">
        <v>1114</v>
      </c>
      <c r="B1119" s="3" t="str">
        <f>"00269696"</f>
        <v>00269696</v>
      </c>
    </row>
    <row r="1120" spans="1:2" x14ac:dyDescent="0.25">
      <c r="A1120" s="3">
        <v>1115</v>
      </c>
      <c r="B1120" s="3" t="str">
        <f>"00269864"</f>
        <v>00269864</v>
      </c>
    </row>
    <row r="1121" spans="1:2" x14ac:dyDescent="0.25">
      <c r="A1121" s="3">
        <v>1116</v>
      </c>
      <c r="B1121" s="3" t="str">
        <f>"00270227"</f>
        <v>00270227</v>
      </c>
    </row>
    <row r="1122" spans="1:2" x14ac:dyDescent="0.25">
      <c r="A1122" s="3">
        <v>1117</v>
      </c>
      <c r="B1122" s="3" t="str">
        <f>"00272220"</f>
        <v>00272220</v>
      </c>
    </row>
    <row r="1123" spans="1:2" x14ac:dyDescent="0.25">
      <c r="A1123" s="3">
        <v>1118</v>
      </c>
      <c r="B1123" s="3" t="str">
        <f>"00273656"</f>
        <v>00273656</v>
      </c>
    </row>
    <row r="1124" spans="1:2" x14ac:dyDescent="0.25">
      <c r="A1124" s="3">
        <v>1119</v>
      </c>
      <c r="B1124" s="3" t="str">
        <f>"00274311"</f>
        <v>00274311</v>
      </c>
    </row>
    <row r="1125" spans="1:2" x14ac:dyDescent="0.25">
      <c r="A1125" s="3">
        <v>1120</v>
      </c>
      <c r="B1125" s="3" t="str">
        <f>"00274366"</f>
        <v>00274366</v>
      </c>
    </row>
    <row r="1126" spans="1:2" x14ac:dyDescent="0.25">
      <c r="A1126" s="3">
        <v>1121</v>
      </c>
      <c r="B1126" s="3" t="str">
        <f>"00275496"</f>
        <v>00275496</v>
      </c>
    </row>
    <row r="1127" spans="1:2" x14ac:dyDescent="0.25">
      <c r="A1127" s="3">
        <v>1122</v>
      </c>
      <c r="B1127" s="3" t="str">
        <f>"00275751"</f>
        <v>00275751</v>
      </c>
    </row>
    <row r="1128" spans="1:2" x14ac:dyDescent="0.25">
      <c r="A1128" s="3">
        <v>1123</v>
      </c>
      <c r="B1128" s="3" t="str">
        <f>"00275802"</f>
        <v>00275802</v>
      </c>
    </row>
    <row r="1129" spans="1:2" x14ac:dyDescent="0.25">
      <c r="A1129" s="3">
        <v>1124</v>
      </c>
      <c r="B1129" s="3" t="str">
        <f>"00278456"</f>
        <v>00278456</v>
      </c>
    </row>
    <row r="1130" spans="1:2" x14ac:dyDescent="0.25">
      <c r="A1130" s="3">
        <v>1125</v>
      </c>
      <c r="B1130" s="3" t="str">
        <f>"00279289"</f>
        <v>00279289</v>
      </c>
    </row>
    <row r="1131" spans="1:2" x14ac:dyDescent="0.25">
      <c r="A1131" s="3">
        <v>1126</v>
      </c>
      <c r="B1131" s="3" t="str">
        <f>"00279667"</f>
        <v>00279667</v>
      </c>
    </row>
    <row r="1132" spans="1:2" x14ac:dyDescent="0.25">
      <c r="A1132" s="3">
        <v>1127</v>
      </c>
      <c r="B1132" s="3" t="str">
        <f>"00281042"</f>
        <v>00281042</v>
      </c>
    </row>
    <row r="1133" spans="1:2" x14ac:dyDescent="0.25">
      <c r="A1133" s="3">
        <v>1128</v>
      </c>
      <c r="B1133" s="3" t="str">
        <f>"00282276"</f>
        <v>00282276</v>
      </c>
    </row>
    <row r="1134" spans="1:2" x14ac:dyDescent="0.25">
      <c r="A1134" s="3">
        <v>1129</v>
      </c>
      <c r="B1134" s="3" t="str">
        <f>"00282678"</f>
        <v>00282678</v>
      </c>
    </row>
    <row r="1135" spans="1:2" x14ac:dyDescent="0.25">
      <c r="A1135" s="3">
        <v>1130</v>
      </c>
      <c r="B1135" s="3" t="str">
        <f>"00282728"</f>
        <v>00282728</v>
      </c>
    </row>
    <row r="1136" spans="1:2" x14ac:dyDescent="0.25">
      <c r="A1136" s="3">
        <v>1131</v>
      </c>
      <c r="B1136" s="3" t="str">
        <f>"00283957"</f>
        <v>00283957</v>
      </c>
    </row>
    <row r="1137" spans="1:2" x14ac:dyDescent="0.25">
      <c r="A1137" s="3">
        <v>1132</v>
      </c>
      <c r="B1137" s="3" t="str">
        <f>"00284816"</f>
        <v>00284816</v>
      </c>
    </row>
    <row r="1138" spans="1:2" x14ac:dyDescent="0.25">
      <c r="A1138" s="3">
        <v>1133</v>
      </c>
      <c r="B1138" s="3" t="str">
        <f>"00286123"</f>
        <v>00286123</v>
      </c>
    </row>
    <row r="1139" spans="1:2" x14ac:dyDescent="0.25">
      <c r="A1139" s="3">
        <v>1134</v>
      </c>
      <c r="B1139" s="3" t="str">
        <f>"00286672"</f>
        <v>00286672</v>
      </c>
    </row>
    <row r="1140" spans="1:2" x14ac:dyDescent="0.25">
      <c r="A1140" s="3">
        <v>1135</v>
      </c>
      <c r="B1140" s="3" t="str">
        <f>"00287103"</f>
        <v>00287103</v>
      </c>
    </row>
    <row r="1141" spans="1:2" x14ac:dyDescent="0.25">
      <c r="A1141" s="3">
        <v>1136</v>
      </c>
      <c r="B1141" s="3" t="str">
        <f>"00288227"</f>
        <v>00288227</v>
      </c>
    </row>
    <row r="1142" spans="1:2" x14ac:dyDescent="0.25">
      <c r="A1142" s="3">
        <v>1137</v>
      </c>
      <c r="B1142" s="3" t="str">
        <f>"00288828"</f>
        <v>00288828</v>
      </c>
    </row>
    <row r="1143" spans="1:2" x14ac:dyDescent="0.25">
      <c r="A1143" s="3">
        <v>1138</v>
      </c>
      <c r="B1143" s="3" t="str">
        <f>"00289537"</f>
        <v>00289537</v>
      </c>
    </row>
    <row r="1144" spans="1:2" x14ac:dyDescent="0.25">
      <c r="A1144" s="3">
        <v>1139</v>
      </c>
      <c r="B1144" s="3" t="str">
        <f>"00290244"</f>
        <v>00290244</v>
      </c>
    </row>
    <row r="1145" spans="1:2" x14ac:dyDescent="0.25">
      <c r="A1145" s="3">
        <v>1140</v>
      </c>
      <c r="B1145" s="3" t="str">
        <f>"00292416"</f>
        <v>00292416</v>
      </c>
    </row>
    <row r="1146" spans="1:2" x14ac:dyDescent="0.25">
      <c r="A1146" s="3">
        <v>1141</v>
      </c>
      <c r="B1146" s="3" t="str">
        <f>"00294856"</f>
        <v>00294856</v>
      </c>
    </row>
    <row r="1147" spans="1:2" x14ac:dyDescent="0.25">
      <c r="A1147" s="3">
        <v>1142</v>
      </c>
      <c r="B1147" s="3" t="str">
        <f>"00295845"</f>
        <v>00295845</v>
      </c>
    </row>
    <row r="1148" spans="1:2" x14ac:dyDescent="0.25">
      <c r="A1148" s="3">
        <v>1143</v>
      </c>
      <c r="B1148" s="3" t="str">
        <f>"00296234"</f>
        <v>00296234</v>
      </c>
    </row>
    <row r="1149" spans="1:2" x14ac:dyDescent="0.25">
      <c r="A1149" s="3">
        <v>1144</v>
      </c>
      <c r="B1149" s="3" t="str">
        <f>"00297854"</f>
        <v>00297854</v>
      </c>
    </row>
    <row r="1150" spans="1:2" x14ac:dyDescent="0.25">
      <c r="A1150" s="3">
        <v>1145</v>
      </c>
      <c r="B1150" s="3" t="str">
        <f>"00299118"</f>
        <v>00299118</v>
      </c>
    </row>
    <row r="1151" spans="1:2" x14ac:dyDescent="0.25">
      <c r="A1151" s="3">
        <v>1146</v>
      </c>
      <c r="B1151" s="3" t="str">
        <f>"00299858"</f>
        <v>00299858</v>
      </c>
    </row>
    <row r="1152" spans="1:2" x14ac:dyDescent="0.25">
      <c r="A1152" s="3">
        <v>1147</v>
      </c>
      <c r="B1152" s="3" t="str">
        <f>"00301001"</f>
        <v>00301001</v>
      </c>
    </row>
    <row r="1153" spans="1:2" x14ac:dyDescent="0.25">
      <c r="A1153" s="3">
        <v>1148</v>
      </c>
      <c r="B1153" s="3" t="str">
        <f>"00303317"</f>
        <v>00303317</v>
      </c>
    </row>
    <row r="1154" spans="1:2" x14ac:dyDescent="0.25">
      <c r="A1154" s="3">
        <v>1149</v>
      </c>
      <c r="B1154" s="3" t="str">
        <f>"00303839"</f>
        <v>00303839</v>
      </c>
    </row>
    <row r="1155" spans="1:2" x14ac:dyDescent="0.25">
      <c r="A1155" s="3">
        <v>1150</v>
      </c>
      <c r="B1155" s="3" t="str">
        <f>"00310293"</f>
        <v>00310293</v>
      </c>
    </row>
    <row r="1156" spans="1:2" x14ac:dyDescent="0.25">
      <c r="A1156" s="3">
        <v>1151</v>
      </c>
      <c r="B1156" s="3" t="str">
        <f>"00313027"</f>
        <v>00313027</v>
      </c>
    </row>
    <row r="1157" spans="1:2" x14ac:dyDescent="0.25">
      <c r="A1157" s="3">
        <v>1152</v>
      </c>
      <c r="B1157" s="3" t="str">
        <f>"00313208"</f>
        <v>00313208</v>
      </c>
    </row>
    <row r="1158" spans="1:2" x14ac:dyDescent="0.25">
      <c r="A1158" s="3">
        <v>1153</v>
      </c>
      <c r="B1158" s="3" t="str">
        <f>"00313785"</f>
        <v>00313785</v>
      </c>
    </row>
    <row r="1159" spans="1:2" x14ac:dyDescent="0.25">
      <c r="A1159" s="3">
        <v>1154</v>
      </c>
      <c r="B1159" s="3" t="str">
        <f>"00314076"</f>
        <v>00314076</v>
      </c>
    </row>
    <row r="1160" spans="1:2" x14ac:dyDescent="0.25">
      <c r="A1160" s="3">
        <v>1155</v>
      </c>
      <c r="B1160" s="3" t="str">
        <f>"00319038"</f>
        <v>00319038</v>
      </c>
    </row>
    <row r="1161" spans="1:2" x14ac:dyDescent="0.25">
      <c r="A1161" s="3">
        <v>1156</v>
      </c>
      <c r="B1161" s="3" t="str">
        <f>"00319245"</f>
        <v>00319245</v>
      </c>
    </row>
    <row r="1162" spans="1:2" x14ac:dyDescent="0.25">
      <c r="A1162" s="3">
        <v>1157</v>
      </c>
      <c r="B1162" s="3" t="str">
        <f>"00321155"</f>
        <v>00321155</v>
      </c>
    </row>
    <row r="1163" spans="1:2" x14ac:dyDescent="0.25">
      <c r="A1163" s="3">
        <v>1158</v>
      </c>
      <c r="B1163" s="3" t="str">
        <f>"00321692"</f>
        <v>00321692</v>
      </c>
    </row>
    <row r="1164" spans="1:2" x14ac:dyDescent="0.25">
      <c r="A1164" s="3">
        <v>1159</v>
      </c>
      <c r="B1164" s="3" t="str">
        <f>"00325287"</f>
        <v>00325287</v>
      </c>
    </row>
    <row r="1165" spans="1:2" x14ac:dyDescent="0.25">
      <c r="A1165" s="3">
        <v>1160</v>
      </c>
      <c r="B1165" s="3" t="str">
        <f>"00327884"</f>
        <v>00327884</v>
      </c>
    </row>
    <row r="1166" spans="1:2" x14ac:dyDescent="0.25">
      <c r="A1166" s="3">
        <v>1161</v>
      </c>
      <c r="B1166" s="3" t="str">
        <f>"00328580"</f>
        <v>00328580</v>
      </c>
    </row>
    <row r="1167" spans="1:2" x14ac:dyDescent="0.25">
      <c r="A1167" s="3">
        <v>1162</v>
      </c>
      <c r="B1167" s="3" t="str">
        <f>"00334261"</f>
        <v>00334261</v>
      </c>
    </row>
    <row r="1168" spans="1:2" x14ac:dyDescent="0.25">
      <c r="A1168" s="3">
        <v>1163</v>
      </c>
      <c r="B1168" s="3" t="str">
        <f>"00334493"</f>
        <v>00334493</v>
      </c>
    </row>
    <row r="1169" spans="1:2" x14ac:dyDescent="0.25">
      <c r="A1169" s="3">
        <v>1164</v>
      </c>
      <c r="B1169" s="3" t="str">
        <f>"00335266"</f>
        <v>00335266</v>
      </c>
    </row>
    <row r="1170" spans="1:2" x14ac:dyDescent="0.25">
      <c r="A1170" s="3">
        <v>1165</v>
      </c>
      <c r="B1170" s="3" t="str">
        <f>"00337476"</f>
        <v>00337476</v>
      </c>
    </row>
    <row r="1171" spans="1:2" x14ac:dyDescent="0.25">
      <c r="A1171" s="3">
        <v>1166</v>
      </c>
      <c r="B1171" s="3" t="str">
        <f>"00337597"</f>
        <v>00337597</v>
      </c>
    </row>
    <row r="1172" spans="1:2" x14ac:dyDescent="0.25">
      <c r="A1172" s="3">
        <v>1167</v>
      </c>
      <c r="B1172" s="3" t="str">
        <f>"00337851"</f>
        <v>00337851</v>
      </c>
    </row>
    <row r="1173" spans="1:2" x14ac:dyDescent="0.25">
      <c r="A1173" s="3">
        <v>1168</v>
      </c>
      <c r="B1173" s="3" t="str">
        <f>"00337911"</f>
        <v>00337911</v>
      </c>
    </row>
    <row r="1174" spans="1:2" x14ac:dyDescent="0.25">
      <c r="A1174" s="3">
        <v>1169</v>
      </c>
      <c r="B1174" s="3" t="str">
        <f>"00338255"</f>
        <v>00338255</v>
      </c>
    </row>
    <row r="1175" spans="1:2" x14ac:dyDescent="0.25">
      <c r="A1175" s="3">
        <v>1170</v>
      </c>
      <c r="B1175" s="3" t="str">
        <f>"00340130"</f>
        <v>00340130</v>
      </c>
    </row>
    <row r="1176" spans="1:2" x14ac:dyDescent="0.25">
      <c r="A1176" s="3">
        <v>1171</v>
      </c>
      <c r="B1176" s="3" t="str">
        <f>"00340348"</f>
        <v>00340348</v>
      </c>
    </row>
    <row r="1177" spans="1:2" x14ac:dyDescent="0.25">
      <c r="A1177" s="3">
        <v>1172</v>
      </c>
      <c r="B1177" s="3" t="str">
        <f>"00340923"</f>
        <v>00340923</v>
      </c>
    </row>
    <row r="1178" spans="1:2" x14ac:dyDescent="0.25">
      <c r="A1178" s="3">
        <v>1173</v>
      </c>
      <c r="B1178" s="3" t="str">
        <f>"00341284"</f>
        <v>00341284</v>
      </c>
    </row>
    <row r="1179" spans="1:2" x14ac:dyDescent="0.25">
      <c r="A1179" s="3">
        <v>1174</v>
      </c>
      <c r="B1179" s="3" t="str">
        <f>"00342664"</f>
        <v>00342664</v>
      </c>
    </row>
    <row r="1180" spans="1:2" x14ac:dyDescent="0.25">
      <c r="A1180" s="3">
        <v>1175</v>
      </c>
      <c r="B1180" s="3" t="str">
        <f>"00343592"</f>
        <v>00343592</v>
      </c>
    </row>
    <row r="1181" spans="1:2" x14ac:dyDescent="0.25">
      <c r="A1181" s="3">
        <v>1176</v>
      </c>
      <c r="B1181" s="3" t="str">
        <f>"00344251"</f>
        <v>00344251</v>
      </c>
    </row>
    <row r="1182" spans="1:2" x14ac:dyDescent="0.25">
      <c r="A1182" s="3">
        <v>1177</v>
      </c>
      <c r="B1182" s="3" t="str">
        <f>"00345421"</f>
        <v>00345421</v>
      </c>
    </row>
    <row r="1183" spans="1:2" x14ac:dyDescent="0.25">
      <c r="A1183" s="3">
        <v>1178</v>
      </c>
      <c r="B1183" s="3" t="str">
        <f>"00346904"</f>
        <v>00346904</v>
      </c>
    </row>
    <row r="1184" spans="1:2" x14ac:dyDescent="0.25">
      <c r="A1184" s="3">
        <v>1179</v>
      </c>
      <c r="B1184" s="3" t="str">
        <f>"00349215"</f>
        <v>00349215</v>
      </c>
    </row>
    <row r="1185" spans="1:2" x14ac:dyDescent="0.25">
      <c r="A1185" s="3">
        <v>1180</v>
      </c>
      <c r="B1185" s="3" t="str">
        <f>"00349217"</f>
        <v>00349217</v>
      </c>
    </row>
    <row r="1186" spans="1:2" x14ac:dyDescent="0.25">
      <c r="A1186" s="3">
        <v>1181</v>
      </c>
      <c r="B1186" s="3" t="str">
        <f>"00349824"</f>
        <v>00349824</v>
      </c>
    </row>
    <row r="1187" spans="1:2" x14ac:dyDescent="0.25">
      <c r="A1187" s="3">
        <v>1182</v>
      </c>
      <c r="B1187" s="3" t="str">
        <f>"00351779"</f>
        <v>00351779</v>
      </c>
    </row>
    <row r="1188" spans="1:2" x14ac:dyDescent="0.25">
      <c r="A1188" s="3">
        <v>1183</v>
      </c>
      <c r="B1188" s="3" t="str">
        <f>"00351787"</f>
        <v>00351787</v>
      </c>
    </row>
    <row r="1189" spans="1:2" x14ac:dyDescent="0.25">
      <c r="A1189" s="3">
        <v>1184</v>
      </c>
      <c r="B1189" s="3" t="str">
        <f>"00354666"</f>
        <v>00354666</v>
      </c>
    </row>
    <row r="1190" spans="1:2" x14ac:dyDescent="0.25">
      <c r="A1190" s="3">
        <v>1185</v>
      </c>
      <c r="B1190" s="3" t="str">
        <f>"00356948"</f>
        <v>00356948</v>
      </c>
    </row>
    <row r="1191" spans="1:2" x14ac:dyDescent="0.25">
      <c r="A1191" s="3">
        <v>1186</v>
      </c>
      <c r="B1191" s="3" t="str">
        <f>"00360635"</f>
        <v>00360635</v>
      </c>
    </row>
    <row r="1192" spans="1:2" x14ac:dyDescent="0.25">
      <c r="A1192" s="3">
        <v>1187</v>
      </c>
      <c r="B1192" s="3" t="str">
        <f>"00363021"</f>
        <v>00363021</v>
      </c>
    </row>
    <row r="1193" spans="1:2" x14ac:dyDescent="0.25">
      <c r="A1193" s="3">
        <v>1188</v>
      </c>
      <c r="B1193" s="3" t="str">
        <f>"00364988"</f>
        <v>00364988</v>
      </c>
    </row>
    <row r="1194" spans="1:2" x14ac:dyDescent="0.25">
      <c r="A1194" s="3">
        <v>1189</v>
      </c>
      <c r="B1194" s="3" t="str">
        <f>"00365868"</f>
        <v>00365868</v>
      </c>
    </row>
    <row r="1195" spans="1:2" x14ac:dyDescent="0.25">
      <c r="A1195" s="3">
        <v>1190</v>
      </c>
      <c r="B1195" s="3" t="str">
        <f>"00366759"</f>
        <v>00366759</v>
      </c>
    </row>
    <row r="1196" spans="1:2" x14ac:dyDescent="0.25">
      <c r="A1196" s="3">
        <v>1191</v>
      </c>
      <c r="B1196" s="3" t="str">
        <f>"00366907"</f>
        <v>00366907</v>
      </c>
    </row>
    <row r="1197" spans="1:2" x14ac:dyDescent="0.25">
      <c r="A1197" s="3">
        <v>1192</v>
      </c>
      <c r="B1197" s="3" t="str">
        <f>"00387332"</f>
        <v>00387332</v>
      </c>
    </row>
    <row r="1198" spans="1:2" x14ac:dyDescent="0.25">
      <c r="A1198" s="3">
        <v>1193</v>
      </c>
      <c r="B1198" s="3" t="str">
        <f>"00401243"</f>
        <v>00401243</v>
      </c>
    </row>
    <row r="1199" spans="1:2" x14ac:dyDescent="0.25">
      <c r="A1199" s="3">
        <v>1194</v>
      </c>
      <c r="B1199" s="3" t="str">
        <f>"00424132"</f>
        <v>00424132</v>
      </c>
    </row>
    <row r="1200" spans="1:2" x14ac:dyDescent="0.25">
      <c r="A1200" s="3">
        <v>1195</v>
      </c>
      <c r="B1200" s="3" t="str">
        <f>"00424284"</f>
        <v>00424284</v>
      </c>
    </row>
    <row r="1201" spans="1:2" x14ac:dyDescent="0.25">
      <c r="A1201" s="3">
        <v>1196</v>
      </c>
      <c r="B1201" s="3" t="str">
        <f>"00424527"</f>
        <v>00424527</v>
      </c>
    </row>
    <row r="1202" spans="1:2" x14ac:dyDescent="0.25">
      <c r="A1202" s="3">
        <v>1197</v>
      </c>
      <c r="B1202" s="3" t="str">
        <f>"00424545"</f>
        <v>00424545</v>
      </c>
    </row>
    <row r="1203" spans="1:2" x14ac:dyDescent="0.25">
      <c r="A1203" s="3">
        <v>1198</v>
      </c>
      <c r="B1203" s="3" t="str">
        <f>"00426234"</f>
        <v>00426234</v>
      </c>
    </row>
    <row r="1204" spans="1:2" x14ac:dyDescent="0.25">
      <c r="A1204" s="3">
        <v>1199</v>
      </c>
      <c r="B1204" s="3" t="str">
        <f>"00427454"</f>
        <v>00427454</v>
      </c>
    </row>
    <row r="1205" spans="1:2" x14ac:dyDescent="0.25">
      <c r="A1205" s="3">
        <v>1200</v>
      </c>
      <c r="B1205" s="3" t="str">
        <f>"00427527"</f>
        <v>00427527</v>
      </c>
    </row>
    <row r="1206" spans="1:2" x14ac:dyDescent="0.25">
      <c r="A1206" s="3">
        <v>1201</v>
      </c>
      <c r="B1206" s="3" t="str">
        <f>"00427790"</f>
        <v>00427790</v>
      </c>
    </row>
    <row r="1207" spans="1:2" x14ac:dyDescent="0.25">
      <c r="A1207" s="3">
        <v>1202</v>
      </c>
      <c r="B1207" s="3" t="str">
        <f>"00429558"</f>
        <v>00429558</v>
      </c>
    </row>
    <row r="1208" spans="1:2" x14ac:dyDescent="0.25">
      <c r="A1208" s="3">
        <v>1203</v>
      </c>
      <c r="B1208" s="3" t="str">
        <f>"00430540"</f>
        <v>00430540</v>
      </c>
    </row>
    <row r="1209" spans="1:2" x14ac:dyDescent="0.25">
      <c r="A1209" s="3">
        <v>1204</v>
      </c>
      <c r="B1209" s="3" t="str">
        <f>"00430574"</f>
        <v>00430574</v>
      </c>
    </row>
    <row r="1210" spans="1:2" x14ac:dyDescent="0.25">
      <c r="A1210" s="3">
        <v>1205</v>
      </c>
      <c r="B1210" s="3" t="str">
        <f>"00430963"</f>
        <v>00430963</v>
      </c>
    </row>
    <row r="1211" spans="1:2" x14ac:dyDescent="0.25">
      <c r="A1211" s="3">
        <v>1206</v>
      </c>
      <c r="B1211" s="3" t="str">
        <f>"00431845"</f>
        <v>00431845</v>
      </c>
    </row>
    <row r="1212" spans="1:2" x14ac:dyDescent="0.25">
      <c r="A1212" s="3">
        <v>1207</v>
      </c>
      <c r="B1212" s="3" t="str">
        <f>"00432705"</f>
        <v>00432705</v>
      </c>
    </row>
    <row r="1213" spans="1:2" x14ac:dyDescent="0.25">
      <c r="A1213" s="3">
        <v>1208</v>
      </c>
      <c r="B1213" s="3" t="str">
        <f>"00433733"</f>
        <v>00433733</v>
      </c>
    </row>
    <row r="1214" spans="1:2" x14ac:dyDescent="0.25">
      <c r="A1214" s="3">
        <v>1209</v>
      </c>
      <c r="B1214" s="3" t="str">
        <f>"00434185"</f>
        <v>00434185</v>
      </c>
    </row>
    <row r="1215" spans="1:2" x14ac:dyDescent="0.25">
      <c r="A1215" s="3">
        <v>1210</v>
      </c>
      <c r="B1215" s="3" t="str">
        <f>"00434878"</f>
        <v>00434878</v>
      </c>
    </row>
    <row r="1216" spans="1:2" x14ac:dyDescent="0.25">
      <c r="A1216" s="3">
        <v>1211</v>
      </c>
      <c r="B1216" s="3" t="str">
        <f>"00435070"</f>
        <v>00435070</v>
      </c>
    </row>
    <row r="1217" spans="1:2" x14ac:dyDescent="0.25">
      <c r="A1217" s="3">
        <v>1212</v>
      </c>
      <c r="B1217" s="3" t="str">
        <f>"00438304"</f>
        <v>00438304</v>
      </c>
    </row>
    <row r="1218" spans="1:2" x14ac:dyDescent="0.25">
      <c r="A1218" s="3">
        <v>1213</v>
      </c>
      <c r="B1218" s="3" t="str">
        <f>"00438933"</f>
        <v>00438933</v>
      </c>
    </row>
    <row r="1219" spans="1:2" x14ac:dyDescent="0.25">
      <c r="A1219" s="3">
        <v>1214</v>
      </c>
      <c r="B1219" s="3" t="str">
        <f>"00440338"</f>
        <v>00440338</v>
      </c>
    </row>
    <row r="1220" spans="1:2" x14ac:dyDescent="0.25">
      <c r="A1220" s="3">
        <v>1215</v>
      </c>
      <c r="B1220" s="3" t="str">
        <f>"00440620"</f>
        <v>00440620</v>
      </c>
    </row>
    <row r="1221" spans="1:2" x14ac:dyDescent="0.25">
      <c r="A1221" s="3">
        <v>1216</v>
      </c>
      <c r="B1221" s="3" t="str">
        <f>"00440666"</f>
        <v>00440666</v>
      </c>
    </row>
    <row r="1222" spans="1:2" x14ac:dyDescent="0.25">
      <c r="A1222" s="3">
        <v>1217</v>
      </c>
      <c r="B1222" s="3" t="str">
        <f>"00441052"</f>
        <v>00441052</v>
      </c>
    </row>
    <row r="1223" spans="1:2" x14ac:dyDescent="0.25">
      <c r="A1223" s="3">
        <v>1218</v>
      </c>
      <c r="B1223" s="3" t="str">
        <f>"00441369"</f>
        <v>00441369</v>
      </c>
    </row>
    <row r="1224" spans="1:2" x14ac:dyDescent="0.25">
      <c r="A1224" s="3">
        <v>1219</v>
      </c>
      <c r="B1224" s="3" t="str">
        <f>"00441729"</f>
        <v>00441729</v>
      </c>
    </row>
    <row r="1225" spans="1:2" x14ac:dyDescent="0.25">
      <c r="A1225" s="3">
        <v>1220</v>
      </c>
      <c r="B1225" s="3" t="str">
        <f>"00441962"</f>
        <v>00441962</v>
      </c>
    </row>
    <row r="1226" spans="1:2" x14ac:dyDescent="0.25">
      <c r="A1226" s="3">
        <v>1221</v>
      </c>
      <c r="B1226" s="3" t="str">
        <f>"00442066"</f>
        <v>00442066</v>
      </c>
    </row>
    <row r="1227" spans="1:2" x14ac:dyDescent="0.25">
      <c r="A1227" s="3">
        <v>1222</v>
      </c>
      <c r="B1227" s="3" t="str">
        <f>"00442248"</f>
        <v>00442248</v>
      </c>
    </row>
    <row r="1228" spans="1:2" x14ac:dyDescent="0.25">
      <c r="A1228" s="3">
        <v>1223</v>
      </c>
      <c r="B1228" s="3" t="str">
        <f>"00442559"</f>
        <v>00442559</v>
      </c>
    </row>
    <row r="1229" spans="1:2" x14ac:dyDescent="0.25">
      <c r="A1229" s="3">
        <v>1224</v>
      </c>
      <c r="B1229" s="3" t="str">
        <f>"00442729"</f>
        <v>00442729</v>
      </c>
    </row>
    <row r="1230" spans="1:2" x14ac:dyDescent="0.25">
      <c r="A1230" s="3">
        <v>1225</v>
      </c>
      <c r="B1230" s="3" t="str">
        <f>"00442895"</f>
        <v>00442895</v>
      </c>
    </row>
    <row r="1231" spans="1:2" x14ac:dyDescent="0.25">
      <c r="A1231" s="3">
        <v>1226</v>
      </c>
      <c r="B1231" s="3" t="str">
        <f>"00443014"</f>
        <v>00443014</v>
      </c>
    </row>
    <row r="1232" spans="1:2" x14ac:dyDescent="0.25">
      <c r="A1232" s="3">
        <v>1227</v>
      </c>
      <c r="B1232" s="3" t="str">
        <f>"00443052"</f>
        <v>00443052</v>
      </c>
    </row>
    <row r="1233" spans="1:2" x14ac:dyDescent="0.25">
      <c r="A1233" s="3">
        <v>1228</v>
      </c>
      <c r="B1233" s="3" t="str">
        <f>"00443218"</f>
        <v>00443218</v>
      </c>
    </row>
    <row r="1234" spans="1:2" x14ac:dyDescent="0.25">
      <c r="A1234" s="3">
        <v>1229</v>
      </c>
      <c r="B1234" s="3" t="str">
        <f>"00443469"</f>
        <v>00443469</v>
      </c>
    </row>
    <row r="1235" spans="1:2" x14ac:dyDescent="0.25">
      <c r="A1235" s="3">
        <v>1230</v>
      </c>
      <c r="B1235" s="3" t="str">
        <f>"00443498"</f>
        <v>00443498</v>
      </c>
    </row>
    <row r="1236" spans="1:2" x14ac:dyDescent="0.25">
      <c r="A1236" s="3">
        <v>1231</v>
      </c>
      <c r="B1236" s="3" t="str">
        <f>"00443597"</f>
        <v>00443597</v>
      </c>
    </row>
    <row r="1237" spans="1:2" x14ac:dyDescent="0.25">
      <c r="A1237" s="3">
        <v>1232</v>
      </c>
      <c r="B1237" s="3" t="str">
        <f>"00443672"</f>
        <v>00443672</v>
      </c>
    </row>
    <row r="1238" spans="1:2" x14ac:dyDescent="0.25">
      <c r="A1238" s="3">
        <v>1233</v>
      </c>
      <c r="B1238" s="3" t="str">
        <f>"00443942"</f>
        <v>00443942</v>
      </c>
    </row>
    <row r="1239" spans="1:2" x14ac:dyDescent="0.25">
      <c r="A1239" s="3">
        <v>1234</v>
      </c>
      <c r="B1239" s="3" t="str">
        <f>"00443979"</f>
        <v>00443979</v>
      </c>
    </row>
    <row r="1240" spans="1:2" x14ac:dyDescent="0.25">
      <c r="A1240" s="3">
        <v>1235</v>
      </c>
      <c r="B1240" s="3" t="str">
        <f>"00443994"</f>
        <v>00443994</v>
      </c>
    </row>
    <row r="1241" spans="1:2" x14ac:dyDescent="0.25">
      <c r="A1241" s="3">
        <v>1236</v>
      </c>
      <c r="B1241" s="3" t="str">
        <f>"00444160"</f>
        <v>00444160</v>
      </c>
    </row>
    <row r="1242" spans="1:2" x14ac:dyDescent="0.25">
      <c r="A1242" s="3">
        <v>1237</v>
      </c>
      <c r="B1242" s="3" t="str">
        <f>"00444412"</f>
        <v>00444412</v>
      </c>
    </row>
    <row r="1243" spans="1:2" x14ac:dyDescent="0.25">
      <c r="A1243" s="3">
        <v>1238</v>
      </c>
      <c r="B1243" s="3" t="str">
        <f>"00444687"</f>
        <v>00444687</v>
      </c>
    </row>
    <row r="1244" spans="1:2" x14ac:dyDescent="0.25">
      <c r="A1244" s="3">
        <v>1239</v>
      </c>
      <c r="B1244" s="3" t="str">
        <f>"00444759"</f>
        <v>00444759</v>
      </c>
    </row>
    <row r="1245" spans="1:2" x14ac:dyDescent="0.25">
      <c r="A1245" s="3">
        <v>1240</v>
      </c>
      <c r="B1245" s="3" t="str">
        <f>"00444763"</f>
        <v>00444763</v>
      </c>
    </row>
    <row r="1246" spans="1:2" x14ac:dyDescent="0.25">
      <c r="A1246" s="3">
        <v>1241</v>
      </c>
      <c r="B1246" s="3" t="str">
        <f>"00444857"</f>
        <v>00444857</v>
      </c>
    </row>
    <row r="1247" spans="1:2" x14ac:dyDescent="0.25">
      <c r="A1247" s="3">
        <v>1242</v>
      </c>
      <c r="B1247" s="3" t="str">
        <f>"00444948"</f>
        <v>00444948</v>
      </c>
    </row>
    <row r="1248" spans="1:2" x14ac:dyDescent="0.25">
      <c r="A1248" s="3">
        <v>1243</v>
      </c>
      <c r="B1248" s="3" t="str">
        <f>"00445023"</f>
        <v>00445023</v>
      </c>
    </row>
    <row r="1249" spans="1:2" x14ac:dyDescent="0.25">
      <c r="A1249" s="3">
        <v>1244</v>
      </c>
      <c r="B1249" s="3" t="str">
        <f>"00445096"</f>
        <v>00445096</v>
      </c>
    </row>
    <row r="1250" spans="1:2" x14ac:dyDescent="0.25">
      <c r="A1250" s="3">
        <v>1245</v>
      </c>
      <c r="B1250" s="3" t="str">
        <f>"00445165"</f>
        <v>00445165</v>
      </c>
    </row>
    <row r="1251" spans="1:2" x14ac:dyDescent="0.25">
      <c r="A1251" s="3">
        <v>1246</v>
      </c>
      <c r="B1251" s="3" t="str">
        <f>"00445217"</f>
        <v>00445217</v>
      </c>
    </row>
    <row r="1252" spans="1:2" x14ac:dyDescent="0.25">
      <c r="A1252" s="3">
        <v>1247</v>
      </c>
      <c r="B1252" s="3" t="str">
        <f>"00445233"</f>
        <v>00445233</v>
      </c>
    </row>
    <row r="1253" spans="1:2" x14ac:dyDescent="0.25">
      <c r="A1253" s="3">
        <v>1248</v>
      </c>
      <c r="B1253" s="3" t="str">
        <f>"00445331"</f>
        <v>00445331</v>
      </c>
    </row>
    <row r="1254" spans="1:2" x14ac:dyDescent="0.25">
      <c r="A1254" s="3">
        <v>1249</v>
      </c>
      <c r="B1254" s="3" t="str">
        <f>"00445340"</f>
        <v>00445340</v>
      </c>
    </row>
    <row r="1255" spans="1:2" x14ac:dyDescent="0.25">
      <c r="A1255" s="3">
        <v>1250</v>
      </c>
      <c r="B1255" s="3" t="str">
        <f>"00445365"</f>
        <v>00445365</v>
      </c>
    </row>
    <row r="1256" spans="1:2" x14ac:dyDescent="0.25">
      <c r="A1256" s="3">
        <v>1251</v>
      </c>
      <c r="B1256" s="3" t="str">
        <f>"00445457"</f>
        <v>00445457</v>
      </c>
    </row>
    <row r="1257" spans="1:2" x14ac:dyDescent="0.25">
      <c r="A1257" s="3">
        <v>1252</v>
      </c>
      <c r="B1257" s="3" t="str">
        <f>"00445492"</f>
        <v>00445492</v>
      </c>
    </row>
    <row r="1258" spans="1:2" x14ac:dyDescent="0.25">
      <c r="A1258" s="3">
        <v>1253</v>
      </c>
      <c r="B1258" s="3" t="str">
        <f>"00445495"</f>
        <v>00445495</v>
      </c>
    </row>
    <row r="1259" spans="1:2" x14ac:dyDescent="0.25">
      <c r="A1259" s="3">
        <v>1254</v>
      </c>
      <c r="B1259" s="3" t="str">
        <f>"00445527"</f>
        <v>00445527</v>
      </c>
    </row>
    <row r="1260" spans="1:2" x14ac:dyDescent="0.25">
      <c r="A1260" s="3">
        <v>1255</v>
      </c>
      <c r="B1260" s="3" t="str">
        <f>"00445652"</f>
        <v>00445652</v>
      </c>
    </row>
    <row r="1261" spans="1:2" x14ac:dyDescent="0.25">
      <c r="A1261" s="3">
        <v>1256</v>
      </c>
      <c r="B1261" s="3" t="str">
        <f>"00445851"</f>
        <v>00445851</v>
      </c>
    </row>
    <row r="1262" spans="1:2" x14ac:dyDescent="0.25">
      <c r="A1262" s="3">
        <v>1257</v>
      </c>
      <c r="B1262" s="3" t="str">
        <f>"00445897"</f>
        <v>00445897</v>
      </c>
    </row>
    <row r="1263" spans="1:2" x14ac:dyDescent="0.25">
      <c r="A1263" s="3">
        <v>1258</v>
      </c>
      <c r="B1263" s="3" t="str">
        <f>"00446157"</f>
        <v>00446157</v>
      </c>
    </row>
    <row r="1264" spans="1:2" x14ac:dyDescent="0.25">
      <c r="A1264" s="3">
        <v>1259</v>
      </c>
      <c r="B1264" s="3" t="str">
        <f>"00446234"</f>
        <v>00446234</v>
      </c>
    </row>
    <row r="1265" spans="1:2" x14ac:dyDescent="0.25">
      <c r="A1265" s="3">
        <v>1260</v>
      </c>
      <c r="B1265" s="3" t="str">
        <f>"00446330"</f>
        <v>00446330</v>
      </c>
    </row>
    <row r="1266" spans="1:2" x14ac:dyDescent="0.25">
      <c r="A1266" s="3">
        <v>1261</v>
      </c>
      <c r="B1266" s="3" t="str">
        <f>"00446355"</f>
        <v>00446355</v>
      </c>
    </row>
    <row r="1267" spans="1:2" x14ac:dyDescent="0.25">
      <c r="A1267" s="3">
        <v>1262</v>
      </c>
      <c r="B1267" s="3" t="str">
        <f>"00446545"</f>
        <v>00446545</v>
      </c>
    </row>
    <row r="1268" spans="1:2" x14ac:dyDescent="0.25">
      <c r="A1268" s="3">
        <v>1263</v>
      </c>
      <c r="B1268" s="3" t="str">
        <f>"00446739"</f>
        <v>00446739</v>
      </c>
    </row>
    <row r="1269" spans="1:2" x14ac:dyDescent="0.25">
      <c r="A1269" s="3">
        <v>1264</v>
      </c>
      <c r="B1269" s="3" t="str">
        <f>"00446750"</f>
        <v>00446750</v>
      </c>
    </row>
    <row r="1270" spans="1:2" x14ac:dyDescent="0.25">
      <c r="A1270" s="3">
        <v>1265</v>
      </c>
      <c r="B1270" s="3" t="str">
        <f>"00446833"</f>
        <v>00446833</v>
      </c>
    </row>
    <row r="1271" spans="1:2" x14ac:dyDescent="0.25">
      <c r="A1271" s="3">
        <v>1266</v>
      </c>
      <c r="B1271" s="3" t="str">
        <f>"00447356"</f>
        <v>00447356</v>
      </c>
    </row>
    <row r="1272" spans="1:2" x14ac:dyDescent="0.25">
      <c r="A1272" s="3">
        <v>1267</v>
      </c>
      <c r="B1272" s="3" t="str">
        <f>"00447587"</f>
        <v>00447587</v>
      </c>
    </row>
    <row r="1273" spans="1:2" x14ac:dyDescent="0.25">
      <c r="A1273" s="3">
        <v>1268</v>
      </c>
      <c r="B1273" s="3" t="str">
        <f>"00447694"</f>
        <v>00447694</v>
      </c>
    </row>
    <row r="1274" spans="1:2" x14ac:dyDescent="0.25">
      <c r="A1274" s="3">
        <v>1269</v>
      </c>
      <c r="B1274" s="3" t="str">
        <f>"00447763"</f>
        <v>00447763</v>
      </c>
    </row>
    <row r="1275" spans="1:2" x14ac:dyDescent="0.25">
      <c r="A1275" s="3">
        <v>1270</v>
      </c>
      <c r="B1275" s="3" t="str">
        <f>"00447911"</f>
        <v>00447911</v>
      </c>
    </row>
    <row r="1276" spans="1:2" x14ac:dyDescent="0.25">
      <c r="A1276" s="3">
        <v>1271</v>
      </c>
      <c r="B1276" s="3" t="str">
        <f>"00448187"</f>
        <v>00448187</v>
      </c>
    </row>
    <row r="1277" spans="1:2" x14ac:dyDescent="0.25">
      <c r="A1277" s="3">
        <v>1272</v>
      </c>
      <c r="B1277" s="3" t="str">
        <f>"00448213"</f>
        <v>00448213</v>
      </c>
    </row>
    <row r="1278" spans="1:2" x14ac:dyDescent="0.25">
      <c r="A1278" s="3">
        <v>1273</v>
      </c>
      <c r="B1278" s="3" t="str">
        <f>"00448237"</f>
        <v>00448237</v>
      </c>
    </row>
    <row r="1279" spans="1:2" x14ac:dyDescent="0.25">
      <c r="A1279" s="3">
        <v>1274</v>
      </c>
      <c r="B1279" s="3" t="str">
        <f>"00448314"</f>
        <v>00448314</v>
      </c>
    </row>
    <row r="1280" spans="1:2" x14ac:dyDescent="0.25">
      <c r="A1280" s="3">
        <v>1275</v>
      </c>
      <c r="B1280" s="3" t="str">
        <f>"00448355"</f>
        <v>00448355</v>
      </c>
    </row>
    <row r="1281" spans="1:2" x14ac:dyDescent="0.25">
      <c r="A1281" s="3">
        <v>1276</v>
      </c>
      <c r="B1281" s="3" t="str">
        <f>"00448432"</f>
        <v>00448432</v>
      </c>
    </row>
    <row r="1282" spans="1:2" x14ac:dyDescent="0.25">
      <c r="A1282" s="3">
        <v>1277</v>
      </c>
      <c r="B1282" s="3" t="str">
        <f>"00448526"</f>
        <v>00448526</v>
      </c>
    </row>
    <row r="1283" spans="1:2" x14ac:dyDescent="0.25">
      <c r="A1283" s="3">
        <v>1278</v>
      </c>
      <c r="B1283" s="3" t="str">
        <f>"00448628"</f>
        <v>00448628</v>
      </c>
    </row>
    <row r="1284" spans="1:2" x14ac:dyDescent="0.25">
      <c r="A1284" s="3">
        <v>1279</v>
      </c>
      <c r="B1284" s="3" t="str">
        <f>"00448713"</f>
        <v>00448713</v>
      </c>
    </row>
    <row r="1285" spans="1:2" x14ac:dyDescent="0.25">
      <c r="A1285" s="3">
        <v>1280</v>
      </c>
      <c r="B1285" s="3" t="str">
        <f>"00449034"</f>
        <v>00449034</v>
      </c>
    </row>
    <row r="1286" spans="1:2" x14ac:dyDescent="0.25">
      <c r="A1286" s="3">
        <v>1281</v>
      </c>
      <c r="B1286" s="3" t="str">
        <f>"00449351"</f>
        <v>00449351</v>
      </c>
    </row>
    <row r="1287" spans="1:2" x14ac:dyDescent="0.25">
      <c r="A1287" s="3">
        <v>1282</v>
      </c>
      <c r="B1287" s="3" t="str">
        <f>"00449390"</f>
        <v>00449390</v>
      </c>
    </row>
    <row r="1288" spans="1:2" x14ac:dyDescent="0.25">
      <c r="A1288" s="3">
        <v>1283</v>
      </c>
      <c r="B1288" s="3" t="str">
        <f>"00449480"</f>
        <v>00449480</v>
      </c>
    </row>
    <row r="1289" spans="1:2" x14ac:dyDescent="0.25">
      <c r="A1289" s="3">
        <v>1284</v>
      </c>
      <c r="B1289" s="3" t="str">
        <f>"00449716"</f>
        <v>00449716</v>
      </c>
    </row>
    <row r="1290" spans="1:2" x14ac:dyDescent="0.25">
      <c r="A1290" s="3">
        <v>1285</v>
      </c>
      <c r="B1290" s="3" t="str">
        <f>"00449746"</f>
        <v>00449746</v>
      </c>
    </row>
    <row r="1291" spans="1:2" x14ac:dyDescent="0.25">
      <c r="A1291" s="3">
        <v>1286</v>
      </c>
      <c r="B1291" s="3" t="str">
        <f>"00449848"</f>
        <v>00449848</v>
      </c>
    </row>
    <row r="1292" spans="1:2" x14ac:dyDescent="0.25">
      <c r="A1292" s="3">
        <v>1287</v>
      </c>
      <c r="B1292" s="3" t="str">
        <f>"00449904"</f>
        <v>00449904</v>
      </c>
    </row>
    <row r="1293" spans="1:2" x14ac:dyDescent="0.25">
      <c r="A1293" s="3">
        <v>1288</v>
      </c>
      <c r="B1293" s="3" t="str">
        <f>"00449906"</f>
        <v>00449906</v>
      </c>
    </row>
    <row r="1294" spans="1:2" x14ac:dyDescent="0.25">
      <c r="A1294" s="3">
        <v>1289</v>
      </c>
      <c r="B1294" s="3" t="str">
        <f>"00449938"</f>
        <v>00449938</v>
      </c>
    </row>
    <row r="1295" spans="1:2" x14ac:dyDescent="0.25">
      <c r="A1295" s="3">
        <v>1290</v>
      </c>
      <c r="B1295" s="3" t="str">
        <f>"00450261"</f>
        <v>00450261</v>
      </c>
    </row>
    <row r="1296" spans="1:2" x14ac:dyDescent="0.25">
      <c r="A1296" s="3">
        <v>1291</v>
      </c>
      <c r="B1296" s="3" t="str">
        <f>"00450382"</f>
        <v>00450382</v>
      </c>
    </row>
    <row r="1297" spans="1:2" x14ac:dyDescent="0.25">
      <c r="A1297" s="3">
        <v>1292</v>
      </c>
      <c r="B1297" s="3" t="str">
        <f>"00450397"</f>
        <v>00450397</v>
      </c>
    </row>
    <row r="1298" spans="1:2" x14ac:dyDescent="0.25">
      <c r="A1298" s="3">
        <v>1293</v>
      </c>
      <c r="B1298" s="3" t="str">
        <f>"00450399"</f>
        <v>00450399</v>
      </c>
    </row>
    <row r="1299" spans="1:2" x14ac:dyDescent="0.25">
      <c r="A1299" s="3">
        <v>1294</v>
      </c>
      <c r="B1299" s="3" t="str">
        <f>"00450510"</f>
        <v>00450510</v>
      </c>
    </row>
    <row r="1300" spans="1:2" x14ac:dyDescent="0.25">
      <c r="A1300" s="3">
        <v>1295</v>
      </c>
      <c r="B1300" s="3" t="str">
        <f>"00450595"</f>
        <v>00450595</v>
      </c>
    </row>
    <row r="1301" spans="1:2" x14ac:dyDescent="0.25">
      <c r="A1301" s="3">
        <v>1296</v>
      </c>
      <c r="B1301" s="3" t="str">
        <f>"00450764"</f>
        <v>00450764</v>
      </c>
    </row>
    <row r="1302" spans="1:2" x14ac:dyDescent="0.25">
      <c r="A1302" s="3">
        <v>1297</v>
      </c>
      <c r="B1302" s="3" t="str">
        <f>"00450973"</f>
        <v>00450973</v>
      </c>
    </row>
    <row r="1303" spans="1:2" x14ac:dyDescent="0.25">
      <c r="A1303" s="3">
        <v>1298</v>
      </c>
      <c r="B1303" s="3" t="str">
        <f>"00451013"</f>
        <v>00451013</v>
      </c>
    </row>
    <row r="1304" spans="1:2" x14ac:dyDescent="0.25">
      <c r="A1304" s="3">
        <v>1299</v>
      </c>
      <c r="B1304" s="3" t="str">
        <f>"00451323"</f>
        <v>00451323</v>
      </c>
    </row>
    <row r="1305" spans="1:2" x14ac:dyDescent="0.25">
      <c r="A1305" s="3">
        <v>1300</v>
      </c>
      <c r="B1305" s="3" t="str">
        <f>"00451476"</f>
        <v>00451476</v>
      </c>
    </row>
    <row r="1306" spans="1:2" x14ac:dyDescent="0.25">
      <c r="A1306" s="3">
        <v>1301</v>
      </c>
      <c r="B1306" s="3" t="str">
        <f>"00451619"</f>
        <v>00451619</v>
      </c>
    </row>
    <row r="1307" spans="1:2" x14ac:dyDescent="0.25">
      <c r="A1307" s="3">
        <v>1302</v>
      </c>
      <c r="B1307" s="3" t="str">
        <f>"00452236"</f>
        <v>00452236</v>
      </c>
    </row>
    <row r="1308" spans="1:2" x14ac:dyDescent="0.25">
      <c r="A1308" s="3">
        <v>1303</v>
      </c>
      <c r="B1308" s="3" t="str">
        <f>"00452307"</f>
        <v>00452307</v>
      </c>
    </row>
    <row r="1309" spans="1:2" x14ac:dyDescent="0.25">
      <c r="A1309" s="3">
        <v>1304</v>
      </c>
      <c r="B1309" s="3" t="str">
        <f>"00452765"</f>
        <v>00452765</v>
      </c>
    </row>
    <row r="1310" spans="1:2" x14ac:dyDescent="0.25">
      <c r="A1310" s="3">
        <v>1305</v>
      </c>
      <c r="B1310" s="3" t="str">
        <f>"00452946"</f>
        <v>00452946</v>
      </c>
    </row>
    <row r="1311" spans="1:2" x14ac:dyDescent="0.25">
      <c r="A1311" s="3">
        <v>1306</v>
      </c>
      <c r="B1311" s="3" t="str">
        <f>"00453002"</f>
        <v>00453002</v>
      </c>
    </row>
    <row r="1312" spans="1:2" x14ac:dyDescent="0.25">
      <c r="A1312" s="3">
        <v>1307</v>
      </c>
      <c r="B1312" s="3" t="str">
        <f>"00453344"</f>
        <v>00453344</v>
      </c>
    </row>
    <row r="1313" spans="1:2" x14ac:dyDescent="0.25">
      <c r="A1313" s="3">
        <v>1308</v>
      </c>
      <c r="B1313" s="3" t="str">
        <f>"00453594"</f>
        <v>00453594</v>
      </c>
    </row>
    <row r="1314" spans="1:2" x14ac:dyDescent="0.25">
      <c r="A1314" s="3">
        <v>1309</v>
      </c>
      <c r="B1314" s="3" t="str">
        <f>"00453950"</f>
        <v>00453950</v>
      </c>
    </row>
    <row r="1315" spans="1:2" x14ac:dyDescent="0.25">
      <c r="A1315" s="3">
        <v>1310</v>
      </c>
      <c r="B1315" s="3" t="str">
        <f>"00454111"</f>
        <v>00454111</v>
      </c>
    </row>
    <row r="1316" spans="1:2" x14ac:dyDescent="0.25">
      <c r="A1316" s="3">
        <v>1311</v>
      </c>
      <c r="B1316" s="3" t="str">
        <f>"00454309"</f>
        <v>00454309</v>
      </c>
    </row>
    <row r="1317" spans="1:2" x14ac:dyDescent="0.25">
      <c r="A1317" s="3">
        <v>1312</v>
      </c>
      <c r="B1317" s="3" t="str">
        <f>"00454431"</f>
        <v>00454431</v>
      </c>
    </row>
    <row r="1318" spans="1:2" x14ac:dyDescent="0.25">
      <c r="A1318" s="3">
        <v>1313</v>
      </c>
      <c r="B1318" s="3" t="str">
        <f>"00454669"</f>
        <v>00454669</v>
      </c>
    </row>
    <row r="1319" spans="1:2" x14ac:dyDescent="0.25">
      <c r="A1319" s="3">
        <v>1314</v>
      </c>
      <c r="B1319" s="3" t="str">
        <f>"00454845"</f>
        <v>00454845</v>
      </c>
    </row>
    <row r="1320" spans="1:2" x14ac:dyDescent="0.25">
      <c r="A1320" s="3">
        <v>1315</v>
      </c>
      <c r="B1320" s="3" t="str">
        <f>"00454865"</f>
        <v>00454865</v>
      </c>
    </row>
    <row r="1321" spans="1:2" x14ac:dyDescent="0.25">
      <c r="A1321" s="3">
        <v>1316</v>
      </c>
      <c r="B1321" s="3" t="str">
        <f>"00454869"</f>
        <v>00454869</v>
      </c>
    </row>
    <row r="1322" spans="1:2" x14ac:dyDescent="0.25">
      <c r="A1322" s="3">
        <v>1317</v>
      </c>
      <c r="B1322" s="3" t="str">
        <f>"00454901"</f>
        <v>00454901</v>
      </c>
    </row>
    <row r="1323" spans="1:2" x14ac:dyDescent="0.25">
      <c r="A1323" s="3">
        <v>1318</v>
      </c>
      <c r="B1323" s="3" t="str">
        <f>"00455163"</f>
        <v>00455163</v>
      </c>
    </row>
    <row r="1324" spans="1:2" x14ac:dyDescent="0.25">
      <c r="A1324" s="3">
        <v>1319</v>
      </c>
      <c r="B1324" s="3" t="str">
        <f>"00455399"</f>
        <v>00455399</v>
      </c>
    </row>
    <row r="1325" spans="1:2" x14ac:dyDescent="0.25">
      <c r="A1325" s="3">
        <v>1320</v>
      </c>
      <c r="B1325" s="3" t="str">
        <f>"00457711"</f>
        <v>00457711</v>
      </c>
    </row>
    <row r="1326" spans="1:2" x14ac:dyDescent="0.25">
      <c r="A1326" s="3">
        <v>1321</v>
      </c>
      <c r="B1326" s="3" t="str">
        <f>"00457998"</f>
        <v>00457998</v>
      </c>
    </row>
    <row r="1327" spans="1:2" x14ac:dyDescent="0.25">
      <c r="A1327" s="3">
        <v>1322</v>
      </c>
      <c r="B1327" s="3" t="str">
        <f>"00458618"</f>
        <v>00458618</v>
      </c>
    </row>
    <row r="1328" spans="1:2" x14ac:dyDescent="0.25">
      <c r="A1328" s="3">
        <v>1323</v>
      </c>
      <c r="B1328" s="3" t="str">
        <f>"00459016"</f>
        <v>00459016</v>
      </c>
    </row>
    <row r="1329" spans="1:2" x14ac:dyDescent="0.25">
      <c r="A1329" s="3">
        <v>1324</v>
      </c>
      <c r="B1329" s="3" t="str">
        <f>"00459614"</f>
        <v>00459614</v>
      </c>
    </row>
    <row r="1330" spans="1:2" x14ac:dyDescent="0.25">
      <c r="A1330" s="3">
        <v>1325</v>
      </c>
      <c r="B1330" s="3" t="str">
        <f>"00459852"</f>
        <v>00459852</v>
      </c>
    </row>
    <row r="1331" spans="1:2" x14ac:dyDescent="0.25">
      <c r="A1331" s="3">
        <v>1326</v>
      </c>
      <c r="B1331" s="3" t="str">
        <f>"00461272"</f>
        <v>00461272</v>
      </c>
    </row>
    <row r="1332" spans="1:2" x14ac:dyDescent="0.25">
      <c r="A1332" s="3">
        <v>1327</v>
      </c>
      <c r="B1332" s="3" t="str">
        <f>"00461544"</f>
        <v>00461544</v>
      </c>
    </row>
    <row r="1333" spans="1:2" x14ac:dyDescent="0.25">
      <c r="A1333" s="3">
        <v>1328</v>
      </c>
      <c r="B1333" s="3" t="str">
        <f>"00461712"</f>
        <v>00461712</v>
      </c>
    </row>
    <row r="1334" spans="1:2" x14ac:dyDescent="0.25">
      <c r="A1334" s="3">
        <v>1329</v>
      </c>
      <c r="B1334" s="3" t="str">
        <f>"00461997"</f>
        <v>00461997</v>
      </c>
    </row>
    <row r="1335" spans="1:2" x14ac:dyDescent="0.25">
      <c r="A1335" s="3">
        <v>1330</v>
      </c>
      <c r="B1335" s="3" t="str">
        <f>"00462175"</f>
        <v>00462175</v>
      </c>
    </row>
    <row r="1336" spans="1:2" x14ac:dyDescent="0.25">
      <c r="A1336" s="3">
        <v>1331</v>
      </c>
      <c r="B1336" s="3" t="str">
        <f>"00462190"</f>
        <v>00462190</v>
      </c>
    </row>
    <row r="1337" spans="1:2" x14ac:dyDescent="0.25">
      <c r="A1337" s="3">
        <v>1332</v>
      </c>
      <c r="B1337" s="3" t="str">
        <f>"00462232"</f>
        <v>00462232</v>
      </c>
    </row>
    <row r="1338" spans="1:2" x14ac:dyDescent="0.25">
      <c r="A1338" s="3">
        <v>1333</v>
      </c>
      <c r="B1338" s="3" t="str">
        <f>"00462233"</f>
        <v>00462233</v>
      </c>
    </row>
    <row r="1339" spans="1:2" x14ac:dyDescent="0.25">
      <c r="A1339" s="3">
        <v>1334</v>
      </c>
      <c r="B1339" s="3" t="str">
        <f>"00462294"</f>
        <v>00462294</v>
      </c>
    </row>
    <row r="1340" spans="1:2" x14ac:dyDescent="0.25">
      <c r="A1340" s="3">
        <v>1335</v>
      </c>
      <c r="B1340" s="3" t="str">
        <f>"00462484"</f>
        <v>00462484</v>
      </c>
    </row>
    <row r="1341" spans="1:2" x14ac:dyDescent="0.25">
      <c r="A1341" s="3">
        <v>1336</v>
      </c>
      <c r="B1341" s="3" t="str">
        <f>"00462532"</f>
        <v>00462532</v>
      </c>
    </row>
    <row r="1342" spans="1:2" x14ac:dyDescent="0.25">
      <c r="A1342" s="3">
        <v>1337</v>
      </c>
      <c r="B1342" s="3" t="str">
        <f>"00462610"</f>
        <v>00462610</v>
      </c>
    </row>
    <row r="1343" spans="1:2" x14ac:dyDescent="0.25">
      <c r="A1343" s="3">
        <v>1338</v>
      </c>
      <c r="B1343" s="3" t="str">
        <f>"00462617"</f>
        <v>00462617</v>
      </c>
    </row>
    <row r="1344" spans="1:2" x14ac:dyDescent="0.25">
      <c r="A1344" s="3">
        <v>1339</v>
      </c>
      <c r="B1344" s="3" t="str">
        <f>"00462646"</f>
        <v>00462646</v>
      </c>
    </row>
    <row r="1345" spans="1:2" x14ac:dyDescent="0.25">
      <c r="A1345" s="3">
        <v>1340</v>
      </c>
      <c r="B1345" s="3" t="str">
        <f>"00462695"</f>
        <v>00462695</v>
      </c>
    </row>
    <row r="1346" spans="1:2" x14ac:dyDescent="0.25">
      <c r="A1346" s="3">
        <v>1341</v>
      </c>
      <c r="B1346" s="3" t="str">
        <f>"00462780"</f>
        <v>00462780</v>
      </c>
    </row>
    <row r="1347" spans="1:2" x14ac:dyDescent="0.25">
      <c r="A1347" s="3">
        <v>1342</v>
      </c>
      <c r="B1347" s="3" t="str">
        <f>"00462978"</f>
        <v>00462978</v>
      </c>
    </row>
    <row r="1348" spans="1:2" x14ac:dyDescent="0.25">
      <c r="A1348" s="3">
        <v>1343</v>
      </c>
      <c r="B1348" s="3" t="str">
        <f>"00463036"</f>
        <v>00463036</v>
      </c>
    </row>
    <row r="1349" spans="1:2" x14ac:dyDescent="0.25">
      <c r="A1349" s="3">
        <v>1344</v>
      </c>
      <c r="B1349" s="3" t="str">
        <f>"00463242"</f>
        <v>00463242</v>
      </c>
    </row>
    <row r="1350" spans="1:2" x14ac:dyDescent="0.25">
      <c r="A1350" s="3">
        <v>1345</v>
      </c>
      <c r="B1350" s="3" t="str">
        <f>"00463286"</f>
        <v>00463286</v>
      </c>
    </row>
    <row r="1351" spans="1:2" x14ac:dyDescent="0.25">
      <c r="A1351" s="3">
        <v>1346</v>
      </c>
      <c r="B1351" s="3" t="str">
        <f>"00463424"</f>
        <v>00463424</v>
      </c>
    </row>
    <row r="1352" spans="1:2" x14ac:dyDescent="0.25">
      <c r="A1352" s="3">
        <v>1347</v>
      </c>
      <c r="B1352" s="3" t="str">
        <f>"00463593"</f>
        <v>00463593</v>
      </c>
    </row>
    <row r="1353" spans="1:2" x14ac:dyDescent="0.25">
      <c r="A1353" s="3">
        <v>1348</v>
      </c>
      <c r="B1353" s="3" t="str">
        <f>"00463615"</f>
        <v>00463615</v>
      </c>
    </row>
    <row r="1354" spans="1:2" x14ac:dyDescent="0.25">
      <c r="A1354" s="3">
        <v>1349</v>
      </c>
      <c r="B1354" s="3" t="str">
        <f>"00463886"</f>
        <v>00463886</v>
      </c>
    </row>
    <row r="1355" spans="1:2" x14ac:dyDescent="0.25">
      <c r="A1355" s="3">
        <v>1350</v>
      </c>
      <c r="B1355" s="3" t="str">
        <f>"00463922"</f>
        <v>00463922</v>
      </c>
    </row>
    <row r="1356" spans="1:2" x14ac:dyDescent="0.25">
      <c r="A1356" s="3">
        <v>1351</v>
      </c>
      <c r="B1356" s="3" t="str">
        <f>"00464159"</f>
        <v>00464159</v>
      </c>
    </row>
    <row r="1357" spans="1:2" x14ac:dyDescent="0.25">
      <c r="A1357" s="3">
        <v>1352</v>
      </c>
      <c r="B1357" s="3" t="str">
        <f>"00464413"</f>
        <v>00464413</v>
      </c>
    </row>
    <row r="1358" spans="1:2" x14ac:dyDescent="0.25">
      <c r="A1358" s="3">
        <v>1353</v>
      </c>
      <c r="B1358" s="3" t="str">
        <f>"00464450"</f>
        <v>00464450</v>
      </c>
    </row>
    <row r="1359" spans="1:2" x14ac:dyDescent="0.25">
      <c r="A1359" s="3">
        <v>1354</v>
      </c>
      <c r="B1359" s="3" t="str">
        <f>"00464561"</f>
        <v>00464561</v>
      </c>
    </row>
    <row r="1360" spans="1:2" x14ac:dyDescent="0.25">
      <c r="A1360" s="3">
        <v>1355</v>
      </c>
      <c r="B1360" s="3" t="str">
        <f>"00464601"</f>
        <v>00464601</v>
      </c>
    </row>
    <row r="1361" spans="1:2" x14ac:dyDescent="0.25">
      <c r="A1361" s="3">
        <v>1356</v>
      </c>
      <c r="B1361" s="3" t="str">
        <f>"00464627"</f>
        <v>00464627</v>
      </c>
    </row>
    <row r="1362" spans="1:2" x14ac:dyDescent="0.25">
      <c r="A1362" s="3">
        <v>1357</v>
      </c>
      <c r="B1362" s="3" t="str">
        <f>"00464759"</f>
        <v>00464759</v>
      </c>
    </row>
    <row r="1363" spans="1:2" x14ac:dyDescent="0.25">
      <c r="A1363" s="3">
        <v>1358</v>
      </c>
      <c r="B1363" s="3" t="str">
        <f>"00464818"</f>
        <v>00464818</v>
      </c>
    </row>
    <row r="1364" spans="1:2" x14ac:dyDescent="0.25">
      <c r="A1364" s="3">
        <v>1359</v>
      </c>
      <c r="B1364" s="3" t="str">
        <f>"00465088"</f>
        <v>00465088</v>
      </c>
    </row>
    <row r="1365" spans="1:2" x14ac:dyDescent="0.25">
      <c r="A1365" s="3">
        <v>1360</v>
      </c>
      <c r="B1365" s="3" t="str">
        <f>"00465509"</f>
        <v>00465509</v>
      </c>
    </row>
    <row r="1366" spans="1:2" x14ac:dyDescent="0.25">
      <c r="A1366" s="3">
        <v>1361</v>
      </c>
      <c r="B1366" s="3" t="str">
        <f>"00465544"</f>
        <v>00465544</v>
      </c>
    </row>
    <row r="1367" spans="1:2" x14ac:dyDescent="0.25">
      <c r="A1367" s="3">
        <v>1362</v>
      </c>
      <c r="B1367" s="3" t="str">
        <f>"00465917"</f>
        <v>00465917</v>
      </c>
    </row>
    <row r="1368" spans="1:2" x14ac:dyDescent="0.25">
      <c r="A1368" s="3">
        <v>1363</v>
      </c>
      <c r="B1368" s="3" t="str">
        <f>"00465919"</f>
        <v>00465919</v>
      </c>
    </row>
    <row r="1369" spans="1:2" x14ac:dyDescent="0.25">
      <c r="A1369" s="3">
        <v>1364</v>
      </c>
      <c r="B1369" s="3" t="str">
        <f>"00466009"</f>
        <v>00466009</v>
      </c>
    </row>
    <row r="1370" spans="1:2" x14ac:dyDescent="0.25">
      <c r="A1370" s="3">
        <v>1365</v>
      </c>
      <c r="B1370" s="3" t="str">
        <f>"00466019"</f>
        <v>00466019</v>
      </c>
    </row>
    <row r="1371" spans="1:2" x14ac:dyDescent="0.25">
      <c r="A1371" s="3">
        <v>1366</v>
      </c>
      <c r="B1371" s="3" t="str">
        <f>"00466293"</f>
        <v>00466293</v>
      </c>
    </row>
    <row r="1372" spans="1:2" x14ac:dyDescent="0.25">
      <c r="A1372" s="3">
        <v>1367</v>
      </c>
      <c r="B1372" s="3" t="str">
        <f>"00466328"</f>
        <v>00466328</v>
      </c>
    </row>
    <row r="1373" spans="1:2" x14ac:dyDescent="0.25">
      <c r="A1373" s="3">
        <v>1368</v>
      </c>
      <c r="B1373" s="3" t="str">
        <f>"00466391"</f>
        <v>00466391</v>
      </c>
    </row>
    <row r="1374" spans="1:2" x14ac:dyDescent="0.25">
      <c r="A1374" s="3">
        <v>1369</v>
      </c>
      <c r="B1374" s="3" t="str">
        <f>"00466420"</f>
        <v>00466420</v>
      </c>
    </row>
    <row r="1375" spans="1:2" x14ac:dyDescent="0.25">
      <c r="A1375" s="3">
        <v>1370</v>
      </c>
      <c r="B1375" s="3" t="str">
        <f>"00466484"</f>
        <v>00466484</v>
      </c>
    </row>
    <row r="1376" spans="1:2" x14ac:dyDescent="0.25">
      <c r="A1376" s="3">
        <v>1371</v>
      </c>
      <c r="B1376" s="3" t="str">
        <f>"00466662"</f>
        <v>00466662</v>
      </c>
    </row>
    <row r="1377" spans="1:2" x14ac:dyDescent="0.25">
      <c r="A1377" s="3">
        <v>1372</v>
      </c>
      <c r="B1377" s="3" t="str">
        <f>"00466708"</f>
        <v>00466708</v>
      </c>
    </row>
    <row r="1378" spans="1:2" x14ac:dyDescent="0.25">
      <c r="A1378" s="3">
        <v>1373</v>
      </c>
      <c r="B1378" s="3" t="str">
        <f>"00466751"</f>
        <v>00466751</v>
      </c>
    </row>
    <row r="1379" spans="1:2" x14ac:dyDescent="0.25">
      <c r="A1379" s="3">
        <v>1374</v>
      </c>
      <c r="B1379" s="3" t="str">
        <f>"00466861"</f>
        <v>00466861</v>
      </c>
    </row>
    <row r="1380" spans="1:2" x14ac:dyDescent="0.25">
      <c r="A1380" s="3">
        <v>1375</v>
      </c>
      <c r="B1380" s="3" t="str">
        <f>"00466928"</f>
        <v>00466928</v>
      </c>
    </row>
    <row r="1381" spans="1:2" x14ac:dyDescent="0.25">
      <c r="A1381" s="3">
        <v>1376</v>
      </c>
      <c r="B1381" s="3" t="str">
        <f>"00467068"</f>
        <v>00467068</v>
      </c>
    </row>
    <row r="1382" spans="1:2" x14ac:dyDescent="0.25">
      <c r="A1382" s="3">
        <v>1377</v>
      </c>
      <c r="B1382" s="3" t="str">
        <f>"00467104"</f>
        <v>00467104</v>
      </c>
    </row>
    <row r="1383" spans="1:2" x14ac:dyDescent="0.25">
      <c r="A1383" s="3">
        <v>1378</v>
      </c>
      <c r="B1383" s="3" t="str">
        <f>"00467355"</f>
        <v>00467355</v>
      </c>
    </row>
    <row r="1384" spans="1:2" x14ac:dyDescent="0.25">
      <c r="A1384" s="3">
        <v>1379</v>
      </c>
      <c r="B1384" s="3" t="str">
        <f>"00467482"</f>
        <v>00467482</v>
      </c>
    </row>
    <row r="1385" spans="1:2" x14ac:dyDescent="0.25">
      <c r="A1385" s="3">
        <v>1380</v>
      </c>
      <c r="B1385" s="3" t="str">
        <f>"00467732"</f>
        <v>00467732</v>
      </c>
    </row>
    <row r="1386" spans="1:2" x14ac:dyDescent="0.25">
      <c r="A1386" s="3">
        <v>1381</v>
      </c>
      <c r="B1386" s="3" t="str">
        <f>"00467746"</f>
        <v>00467746</v>
      </c>
    </row>
    <row r="1387" spans="1:2" x14ac:dyDescent="0.25">
      <c r="A1387" s="3">
        <v>1382</v>
      </c>
      <c r="B1387" s="3" t="str">
        <f>"00467869"</f>
        <v>00467869</v>
      </c>
    </row>
    <row r="1388" spans="1:2" x14ac:dyDescent="0.25">
      <c r="A1388" s="3">
        <v>1383</v>
      </c>
      <c r="B1388" s="3" t="str">
        <f>"00467988"</f>
        <v>00467988</v>
      </c>
    </row>
    <row r="1389" spans="1:2" x14ac:dyDescent="0.25">
      <c r="A1389" s="3">
        <v>1384</v>
      </c>
      <c r="B1389" s="3" t="str">
        <f>"00467996"</f>
        <v>00467996</v>
      </c>
    </row>
    <row r="1390" spans="1:2" x14ac:dyDescent="0.25">
      <c r="A1390" s="3">
        <v>1385</v>
      </c>
      <c r="B1390" s="3" t="str">
        <f>"00468008"</f>
        <v>00468008</v>
      </c>
    </row>
    <row r="1391" spans="1:2" x14ac:dyDescent="0.25">
      <c r="A1391" s="3">
        <v>1386</v>
      </c>
      <c r="B1391" s="3" t="str">
        <f>"00468695"</f>
        <v>00468695</v>
      </c>
    </row>
    <row r="1392" spans="1:2" x14ac:dyDescent="0.25">
      <c r="A1392" s="3">
        <v>1387</v>
      </c>
      <c r="B1392" s="3" t="str">
        <f>"00468813"</f>
        <v>00468813</v>
      </c>
    </row>
    <row r="1393" spans="1:2" x14ac:dyDescent="0.25">
      <c r="A1393" s="3">
        <v>1388</v>
      </c>
      <c r="B1393" s="3" t="str">
        <f>"00468849"</f>
        <v>00468849</v>
      </c>
    </row>
    <row r="1394" spans="1:2" x14ac:dyDescent="0.25">
      <c r="A1394" s="3">
        <v>1389</v>
      </c>
      <c r="B1394" s="3" t="str">
        <f>"00468970"</f>
        <v>00468970</v>
      </c>
    </row>
    <row r="1395" spans="1:2" x14ac:dyDescent="0.25">
      <c r="A1395" s="3">
        <v>1390</v>
      </c>
      <c r="B1395" s="3" t="str">
        <f>"00469243"</f>
        <v>00469243</v>
      </c>
    </row>
    <row r="1396" spans="1:2" x14ac:dyDescent="0.25">
      <c r="A1396" s="3">
        <v>1391</v>
      </c>
      <c r="B1396" s="3" t="str">
        <f>"00469250"</f>
        <v>00469250</v>
      </c>
    </row>
    <row r="1397" spans="1:2" x14ac:dyDescent="0.25">
      <c r="A1397" s="3">
        <v>1392</v>
      </c>
      <c r="B1397" s="3" t="str">
        <f>"00469252"</f>
        <v>00469252</v>
      </c>
    </row>
    <row r="1398" spans="1:2" x14ac:dyDescent="0.25">
      <c r="A1398" s="3">
        <v>1393</v>
      </c>
      <c r="B1398" s="3" t="str">
        <f>"00469284"</f>
        <v>00469284</v>
      </c>
    </row>
    <row r="1399" spans="1:2" x14ac:dyDescent="0.25">
      <c r="A1399" s="3">
        <v>1394</v>
      </c>
      <c r="B1399" s="3" t="str">
        <f>"00469294"</f>
        <v>00469294</v>
      </c>
    </row>
    <row r="1400" spans="1:2" x14ac:dyDescent="0.25">
      <c r="A1400" s="3">
        <v>1395</v>
      </c>
      <c r="B1400" s="3" t="str">
        <f>"00469295"</f>
        <v>00469295</v>
      </c>
    </row>
    <row r="1401" spans="1:2" x14ac:dyDescent="0.25">
      <c r="A1401" s="3">
        <v>1396</v>
      </c>
      <c r="B1401" s="3" t="str">
        <f>"00469314"</f>
        <v>00469314</v>
      </c>
    </row>
    <row r="1402" spans="1:2" x14ac:dyDescent="0.25">
      <c r="A1402" s="3">
        <v>1397</v>
      </c>
      <c r="B1402" s="3" t="str">
        <f>"00469317"</f>
        <v>00469317</v>
      </c>
    </row>
    <row r="1403" spans="1:2" x14ac:dyDescent="0.25">
      <c r="A1403" s="3">
        <v>1398</v>
      </c>
      <c r="B1403" s="3" t="str">
        <f>"00469321"</f>
        <v>00469321</v>
      </c>
    </row>
    <row r="1404" spans="1:2" x14ac:dyDescent="0.25">
      <c r="A1404" s="3">
        <v>1399</v>
      </c>
      <c r="B1404" s="3" t="str">
        <f>"00469324"</f>
        <v>00469324</v>
      </c>
    </row>
    <row r="1405" spans="1:2" x14ac:dyDescent="0.25">
      <c r="A1405" s="3">
        <v>1400</v>
      </c>
      <c r="B1405" s="3" t="str">
        <f>"00469325"</f>
        <v>00469325</v>
      </c>
    </row>
    <row r="1406" spans="1:2" x14ac:dyDescent="0.25">
      <c r="A1406" s="3">
        <v>1401</v>
      </c>
      <c r="B1406" s="3" t="str">
        <f>"00469339"</f>
        <v>00469339</v>
      </c>
    </row>
    <row r="1407" spans="1:2" x14ac:dyDescent="0.25">
      <c r="A1407" s="3">
        <v>1402</v>
      </c>
      <c r="B1407" s="3" t="str">
        <f>"00469350"</f>
        <v>00469350</v>
      </c>
    </row>
    <row r="1408" spans="1:2" x14ac:dyDescent="0.25">
      <c r="A1408" s="3">
        <v>1403</v>
      </c>
      <c r="B1408" s="3" t="str">
        <f>"00469384"</f>
        <v>00469384</v>
      </c>
    </row>
    <row r="1409" spans="1:2" x14ac:dyDescent="0.25">
      <c r="A1409" s="3">
        <v>1404</v>
      </c>
      <c r="B1409" s="3" t="str">
        <f>"00469397"</f>
        <v>00469397</v>
      </c>
    </row>
    <row r="1410" spans="1:2" x14ac:dyDescent="0.25">
      <c r="A1410" s="3">
        <v>1405</v>
      </c>
      <c r="B1410" s="3" t="str">
        <f>"00469426"</f>
        <v>00469426</v>
      </c>
    </row>
    <row r="1411" spans="1:2" x14ac:dyDescent="0.25">
      <c r="A1411" s="3">
        <v>1406</v>
      </c>
      <c r="B1411" s="3" t="str">
        <f>"00469436"</f>
        <v>00469436</v>
      </c>
    </row>
    <row r="1412" spans="1:2" x14ac:dyDescent="0.25">
      <c r="A1412" s="3">
        <v>1407</v>
      </c>
      <c r="B1412" s="3" t="str">
        <f>"00469471"</f>
        <v>00469471</v>
      </c>
    </row>
    <row r="1413" spans="1:2" x14ac:dyDescent="0.25">
      <c r="A1413" s="3">
        <v>1408</v>
      </c>
      <c r="B1413" s="3" t="str">
        <f>"00469491"</f>
        <v>00469491</v>
      </c>
    </row>
    <row r="1414" spans="1:2" x14ac:dyDescent="0.25">
      <c r="A1414" s="3">
        <v>1409</v>
      </c>
      <c r="B1414" s="3" t="str">
        <f>"00469550"</f>
        <v>00469550</v>
      </c>
    </row>
    <row r="1415" spans="1:2" x14ac:dyDescent="0.25">
      <c r="A1415" s="3">
        <v>1410</v>
      </c>
      <c r="B1415" s="3" t="str">
        <f>"00469581"</f>
        <v>00469581</v>
      </c>
    </row>
    <row r="1416" spans="1:2" x14ac:dyDescent="0.25">
      <c r="A1416" s="3">
        <v>1411</v>
      </c>
      <c r="B1416" s="3" t="str">
        <f>"00469628"</f>
        <v>00469628</v>
      </c>
    </row>
    <row r="1417" spans="1:2" x14ac:dyDescent="0.25">
      <c r="A1417" s="3">
        <v>1412</v>
      </c>
      <c r="B1417" s="3" t="str">
        <f>"00469646"</f>
        <v>00469646</v>
      </c>
    </row>
    <row r="1418" spans="1:2" x14ac:dyDescent="0.25">
      <c r="A1418" s="3">
        <v>1413</v>
      </c>
      <c r="B1418" s="3" t="str">
        <f>"00469658"</f>
        <v>00469658</v>
      </c>
    </row>
    <row r="1419" spans="1:2" x14ac:dyDescent="0.25">
      <c r="A1419" s="3">
        <v>1414</v>
      </c>
      <c r="B1419" s="3" t="str">
        <f>"00469669"</f>
        <v>00469669</v>
      </c>
    </row>
    <row r="1420" spans="1:2" x14ac:dyDescent="0.25">
      <c r="A1420" s="3">
        <v>1415</v>
      </c>
      <c r="B1420" s="3" t="str">
        <f>"00469707"</f>
        <v>00469707</v>
      </c>
    </row>
    <row r="1421" spans="1:2" x14ac:dyDescent="0.25">
      <c r="A1421" s="3">
        <v>1416</v>
      </c>
      <c r="B1421" s="3" t="str">
        <f>"00469724"</f>
        <v>00469724</v>
      </c>
    </row>
    <row r="1422" spans="1:2" x14ac:dyDescent="0.25">
      <c r="A1422" s="3">
        <v>1417</v>
      </c>
      <c r="B1422" s="3" t="str">
        <f>"00469725"</f>
        <v>00469725</v>
      </c>
    </row>
    <row r="1423" spans="1:2" x14ac:dyDescent="0.25">
      <c r="A1423" s="3">
        <v>1418</v>
      </c>
      <c r="B1423" s="3" t="str">
        <f>"00469735"</f>
        <v>00469735</v>
      </c>
    </row>
    <row r="1424" spans="1:2" x14ac:dyDescent="0.25">
      <c r="A1424" s="3">
        <v>1419</v>
      </c>
      <c r="B1424" s="3" t="str">
        <f>"00469737"</f>
        <v>00469737</v>
      </c>
    </row>
    <row r="1425" spans="1:2" x14ac:dyDescent="0.25">
      <c r="A1425" s="3">
        <v>1420</v>
      </c>
      <c r="B1425" s="3" t="str">
        <f>"00469746"</f>
        <v>00469746</v>
      </c>
    </row>
    <row r="1426" spans="1:2" x14ac:dyDescent="0.25">
      <c r="A1426" s="3">
        <v>1421</v>
      </c>
      <c r="B1426" s="3" t="str">
        <f>"00469771"</f>
        <v>00469771</v>
      </c>
    </row>
    <row r="1427" spans="1:2" x14ac:dyDescent="0.25">
      <c r="A1427" s="3">
        <v>1422</v>
      </c>
      <c r="B1427" s="3" t="str">
        <f>"00469798"</f>
        <v>00469798</v>
      </c>
    </row>
    <row r="1428" spans="1:2" x14ac:dyDescent="0.25">
      <c r="A1428" s="3">
        <v>1423</v>
      </c>
      <c r="B1428" s="3" t="str">
        <f>"00469821"</f>
        <v>00469821</v>
      </c>
    </row>
    <row r="1429" spans="1:2" x14ac:dyDescent="0.25">
      <c r="A1429" s="3">
        <v>1424</v>
      </c>
      <c r="B1429" s="3" t="str">
        <f>"00469833"</f>
        <v>00469833</v>
      </c>
    </row>
    <row r="1430" spans="1:2" x14ac:dyDescent="0.25">
      <c r="A1430" s="3">
        <v>1425</v>
      </c>
      <c r="B1430" s="3" t="str">
        <f>"00469900"</f>
        <v>00469900</v>
      </c>
    </row>
    <row r="1431" spans="1:2" x14ac:dyDescent="0.25">
      <c r="A1431" s="3">
        <v>1426</v>
      </c>
      <c r="B1431" s="3" t="str">
        <f>"00469916"</f>
        <v>00469916</v>
      </c>
    </row>
    <row r="1432" spans="1:2" x14ac:dyDescent="0.25">
      <c r="A1432" s="3">
        <v>1427</v>
      </c>
      <c r="B1432" s="3" t="str">
        <f>"00470251"</f>
        <v>00470251</v>
      </c>
    </row>
    <row r="1433" spans="1:2" x14ac:dyDescent="0.25">
      <c r="A1433" s="3">
        <v>1428</v>
      </c>
      <c r="B1433" s="3" t="str">
        <f>"00470265"</f>
        <v>00470265</v>
      </c>
    </row>
    <row r="1434" spans="1:2" x14ac:dyDescent="0.25">
      <c r="A1434" s="3">
        <v>1429</v>
      </c>
      <c r="B1434" s="3" t="str">
        <f>"00470270"</f>
        <v>00470270</v>
      </c>
    </row>
    <row r="1435" spans="1:2" x14ac:dyDescent="0.25">
      <c r="A1435" s="3">
        <v>1430</v>
      </c>
      <c r="B1435" s="3" t="str">
        <f>"00470276"</f>
        <v>00470276</v>
      </c>
    </row>
    <row r="1436" spans="1:2" x14ac:dyDescent="0.25">
      <c r="A1436" s="3">
        <v>1431</v>
      </c>
      <c r="B1436" s="3" t="str">
        <f>"00470318"</f>
        <v>00470318</v>
      </c>
    </row>
    <row r="1437" spans="1:2" x14ac:dyDescent="0.25">
      <c r="A1437" s="3">
        <v>1432</v>
      </c>
      <c r="B1437" s="3" t="str">
        <f>"00470328"</f>
        <v>00470328</v>
      </c>
    </row>
    <row r="1438" spans="1:2" x14ac:dyDescent="0.25">
      <c r="A1438" s="3">
        <v>1433</v>
      </c>
      <c r="B1438" s="3" t="str">
        <f>"00470338"</f>
        <v>00470338</v>
      </c>
    </row>
    <row r="1439" spans="1:2" x14ac:dyDescent="0.25">
      <c r="A1439" s="3">
        <v>1434</v>
      </c>
      <c r="B1439" s="3" t="str">
        <f>"00470353"</f>
        <v>00470353</v>
      </c>
    </row>
    <row r="1440" spans="1:2" x14ac:dyDescent="0.25">
      <c r="A1440" s="3">
        <v>1435</v>
      </c>
      <c r="B1440" s="3" t="str">
        <f>"00470357"</f>
        <v>00470357</v>
      </c>
    </row>
    <row r="1441" spans="1:2" x14ac:dyDescent="0.25">
      <c r="A1441" s="3">
        <v>1436</v>
      </c>
      <c r="B1441" s="3" t="str">
        <f>"00470451"</f>
        <v>00470451</v>
      </c>
    </row>
    <row r="1442" spans="1:2" x14ac:dyDescent="0.25">
      <c r="A1442" s="3">
        <v>1437</v>
      </c>
      <c r="B1442" s="3" t="str">
        <f>"00470458"</f>
        <v>00470458</v>
      </c>
    </row>
    <row r="1443" spans="1:2" x14ac:dyDescent="0.25">
      <c r="A1443" s="3">
        <v>1438</v>
      </c>
      <c r="B1443" s="3" t="str">
        <f>"00470466"</f>
        <v>00470466</v>
      </c>
    </row>
    <row r="1444" spans="1:2" x14ac:dyDescent="0.25">
      <c r="A1444" s="3">
        <v>1439</v>
      </c>
      <c r="B1444" s="3" t="str">
        <f>"00470468"</f>
        <v>00470468</v>
      </c>
    </row>
    <row r="1445" spans="1:2" x14ac:dyDescent="0.25">
      <c r="A1445" s="3">
        <v>1440</v>
      </c>
      <c r="B1445" s="3" t="str">
        <f>"00470487"</f>
        <v>00470487</v>
      </c>
    </row>
    <row r="1446" spans="1:2" x14ac:dyDescent="0.25">
      <c r="A1446" s="3">
        <v>1441</v>
      </c>
      <c r="B1446" s="3" t="str">
        <f>"00470507"</f>
        <v>00470507</v>
      </c>
    </row>
    <row r="1447" spans="1:2" x14ac:dyDescent="0.25">
      <c r="A1447" s="3">
        <v>1442</v>
      </c>
      <c r="B1447" s="3" t="str">
        <f>"00470538"</f>
        <v>00470538</v>
      </c>
    </row>
    <row r="1448" spans="1:2" x14ac:dyDescent="0.25">
      <c r="A1448" s="3">
        <v>1443</v>
      </c>
      <c r="B1448" s="3" t="str">
        <f>"00470566"</f>
        <v>00470566</v>
      </c>
    </row>
    <row r="1449" spans="1:2" x14ac:dyDescent="0.25">
      <c r="A1449" s="3">
        <v>1444</v>
      </c>
      <c r="B1449" s="3" t="str">
        <f>"00470579"</f>
        <v>00470579</v>
      </c>
    </row>
    <row r="1450" spans="1:2" x14ac:dyDescent="0.25">
      <c r="A1450" s="3">
        <v>1445</v>
      </c>
      <c r="B1450" s="3" t="str">
        <f>"00470582"</f>
        <v>00470582</v>
      </c>
    </row>
    <row r="1451" spans="1:2" x14ac:dyDescent="0.25">
      <c r="A1451" s="3">
        <v>1446</v>
      </c>
      <c r="B1451" s="3" t="str">
        <f>"00470624"</f>
        <v>00470624</v>
      </c>
    </row>
    <row r="1452" spans="1:2" x14ac:dyDescent="0.25">
      <c r="A1452" s="3">
        <v>1447</v>
      </c>
      <c r="B1452" s="3" t="str">
        <f>"00470641"</f>
        <v>00470641</v>
      </c>
    </row>
    <row r="1453" spans="1:2" x14ac:dyDescent="0.25">
      <c r="A1453" s="3">
        <v>1448</v>
      </c>
      <c r="B1453" s="3" t="str">
        <f>"00470677"</f>
        <v>00470677</v>
      </c>
    </row>
    <row r="1454" spans="1:2" x14ac:dyDescent="0.25">
      <c r="A1454" s="3">
        <v>1449</v>
      </c>
      <c r="B1454" s="3" t="str">
        <f>"00470775"</f>
        <v>00470775</v>
      </c>
    </row>
    <row r="1455" spans="1:2" x14ac:dyDescent="0.25">
      <c r="A1455" s="3">
        <v>1450</v>
      </c>
      <c r="B1455" s="3" t="str">
        <f>"00470820"</f>
        <v>00470820</v>
      </c>
    </row>
    <row r="1456" spans="1:2" x14ac:dyDescent="0.25">
      <c r="A1456" s="3">
        <v>1451</v>
      </c>
      <c r="B1456" s="3" t="str">
        <f>"00470831"</f>
        <v>00470831</v>
      </c>
    </row>
    <row r="1457" spans="1:2" x14ac:dyDescent="0.25">
      <c r="A1457" s="3">
        <v>1452</v>
      </c>
      <c r="B1457" s="3" t="str">
        <f>"00470950"</f>
        <v>00470950</v>
      </c>
    </row>
    <row r="1458" spans="1:2" x14ac:dyDescent="0.25">
      <c r="A1458" s="3">
        <v>1453</v>
      </c>
      <c r="B1458" s="3" t="str">
        <f>"00471023"</f>
        <v>00471023</v>
      </c>
    </row>
    <row r="1459" spans="1:2" x14ac:dyDescent="0.25">
      <c r="A1459" s="3">
        <v>1454</v>
      </c>
      <c r="B1459" s="3" t="str">
        <f>"00471050"</f>
        <v>00471050</v>
      </c>
    </row>
    <row r="1460" spans="1:2" x14ac:dyDescent="0.25">
      <c r="A1460" s="3">
        <v>1455</v>
      </c>
      <c r="B1460" s="3" t="str">
        <f>"00471084"</f>
        <v>00471084</v>
      </c>
    </row>
    <row r="1461" spans="1:2" x14ac:dyDescent="0.25">
      <c r="A1461" s="3">
        <v>1456</v>
      </c>
      <c r="B1461" s="3" t="str">
        <f>"00471169"</f>
        <v>00471169</v>
      </c>
    </row>
    <row r="1462" spans="1:2" x14ac:dyDescent="0.25">
      <c r="A1462" s="3">
        <v>1457</v>
      </c>
      <c r="B1462" s="3" t="str">
        <f>"00471178"</f>
        <v>00471178</v>
      </c>
    </row>
    <row r="1463" spans="1:2" x14ac:dyDescent="0.25">
      <c r="A1463" s="3">
        <v>1458</v>
      </c>
      <c r="B1463" s="3" t="str">
        <f>"00471199"</f>
        <v>00471199</v>
      </c>
    </row>
    <row r="1464" spans="1:2" x14ac:dyDescent="0.25">
      <c r="A1464" s="3">
        <v>1459</v>
      </c>
      <c r="B1464" s="3" t="str">
        <f>"00471229"</f>
        <v>00471229</v>
      </c>
    </row>
    <row r="1465" spans="1:2" x14ac:dyDescent="0.25">
      <c r="A1465" s="3">
        <v>1460</v>
      </c>
      <c r="B1465" s="3" t="str">
        <f>"00471433"</f>
        <v>00471433</v>
      </c>
    </row>
    <row r="1466" spans="1:2" x14ac:dyDescent="0.25">
      <c r="A1466" s="3">
        <v>1461</v>
      </c>
      <c r="B1466" s="3" t="str">
        <f>"00471507"</f>
        <v>00471507</v>
      </c>
    </row>
    <row r="1467" spans="1:2" x14ac:dyDescent="0.25">
      <c r="A1467" s="3">
        <v>1462</v>
      </c>
      <c r="B1467" s="3" t="str">
        <f>"00471526"</f>
        <v>00471526</v>
      </c>
    </row>
    <row r="1468" spans="1:2" x14ac:dyDescent="0.25">
      <c r="A1468" s="3">
        <v>1463</v>
      </c>
      <c r="B1468" s="3" t="str">
        <f>"00471574"</f>
        <v>00471574</v>
      </c>
    </row>
    <row r="1469" spans="1:2" x14ac:dyDescent="0.25">
      <c r="A1469" s="3">
        <v>1464</v>
      </c>
      <c r="B1469" s="3" t="str">
        <f>"00471692"</f>
        <v>00471692</v>
      </c>
    </row>
    <row r="1470" spans="1:2" x14ac:dyDescent="0.25">
      <c r="A1470" s="3">
        <v>1465</v>
      </c>
      <c r="B1470" s="3" t="str">
        <f>"00471733"</f>
        <v>00471733</v>
      </c>
    </row>
    <row r="1471" spans="1:2" x14ac:dyDescent="0.25">
      <c r="A1471" s="3">
        <v>1466</v>
      </c>
      <c r="B1471" s="3" t="str">
        <f>"00471754"</f>
        <v>00471754</v>
      </c>
    </row>
    <row r="1472" spans="1:2" x14ac:dyDescent="0.25">
      <c r="A1472" s="3">
        <v>1467</v>
      </c>
      <c r="B1472" s="3" t="str">
        <f>"00471952"</f>
        <v>00471952</v>
      </c>
    </row>
    <row r="1473" spans="1:2" x14ac:dyDescent="0.25">
      <c r="A1473" s="3">
        <v>1468</v>
      </c>
      <c r="B1473" s="3" t="str">
        <f>"00471959"</f>
        <v>00471959</v>
      </c>
    </row>
    <row r="1474" spans="1:2" x14ac:dyDescent="0.25">
      <c r="A1474" s="3">
        <v>1469</v>
      </c>
      <c r="B1474" s="3" t="str">
        <f>"00472013"</f>
        <v>00472013</v>
      </c>
    </row>
    <row r="1475" spans="1:2" x14ac:dyDescent="0.25">
      <c r="A1475" s="3">
        <v>1470</v>
      </c>
      <c r="B1475" s="3" t="str">
        <f>"00472055"</f>
        <v>00472055</v>
      </c>
    </row>
    <row r="1476" spans="1:2" x14ac:dyDescent="0.25">
      <c r="A1476" s="3">
        <v>1471</v>
      </c>
      <c r="B1476" s="3" t="str">
        <f>"00472131"</f>
        <v>00472131</v>
      </c>
    </row>
    <row r="1477" spans="1:2" x14ac:dyDescent="0.25">
      <c r="A1477" s="3">
        <v>1472</v>
      </c>
      <c r="B1477" s="3" t="str">
        <f>"00472376"</f>
        <v>00472376</v>
      </c>
    </row>
    <row r="1478" spans="1:2" x14ac:dyDescent="0.25">
      <c r="A1478" s="3">
        <v>1473</v>
      </c>
      <c r="B1478" s="3" t="str">
        <f>"00472433"</f>
        <v>00472433</v>
      </c>
    </row>
    <row r="1479" spans="1:2" x14ac:dyDescent="0.25">
      <c r="A1479" s="3">
        <v>1474</v>
      </c>
      <c r="B1479" s="3" t="str">
        <f>"00472486"</f>
        <v>00472486</v>
      </c>
    </row>
    <row r="1480" spans="1:2" x14ac:dyDescent="0.25">
      <c r="A1480" s="3">
        <v>1475</v>
      </c>
      <c r="B1480" s="3" t="str">
        <f>"00472548"</f>
        <v>00472548</v>
      </c>
    </row>
    <row r="1481" spans="1:2" x14ac:dyDescent="0.25">
      <c r="A1481" s="3">
        <v>1476</v>
      </c>
      <c r="B1481" s="3" t="str">
        <f>"00472624"</f>
        <v>00472624</v>
      </c>
    </row>
    <row r="1482" spans="1:2" x14ac:dyDescent="0.25">
      <c r="A1482" s="3">
        <v>1477</v>
      </c>
      <c r="B1482" s="3" t="str">
        <f>"00472709"</f>
        <v>00472709</v>
      </c>
    </row>
    <row r="1483" spans="1:2" x14ac:dyDescent="0.25">
      <c r="A1483" s="3">
        <v>1478</v>
      </c>
      <c r="B1483" s="3" t="str">
        <f>"00472860"</f>
        <v>00472860</v>
      </c>
    </row>
    <row r="1484" spans="1:2" x14ac:dyDescent="0.25">
      <c r="A1484" s="3">
        <v>1479</v>
      </c>
      <c r="B1484" s="3" t="str">
        <f>"00472864"</f>
        <v>00472864</v>
      </c>
    </row>
    <row r="1485" spans="1:2" x14ac:dyDescent="0.25">
      <c r="A1485" s="3">
        <v>1480</v>
      </c>
      <c r="B1485" s="3" t="str">
        <f>"00472915"</f>
        <v>00472915</v>
      </c>
    </row>
    <row r="1486" spans="1:2" x14ac:dyDescent="0.25">
      <c r="A1486" s="3">
        <v>1481</v>
      </c>
      <c r="B1486" s="3" t="str">
        <f>"00472929"</f>
        <v>00472929</v>
      </c>
    </row>
    <row r="1487" spans="1:2" x14ac:dyDescent="0.25">
      <c r="A1487" s="3">
        <v>1482</v>
      </c>
      <c r="B1487" s="3" t="str">
        <f>"00472987"</f>
        <v>00472987</v>
      </c>
    </row>
    <row r="1488" spans="1:2" x14ac:dyDescent="0.25">
      <c r="A1488" s="3">
        <v>1483</v>
      </c>
      <c r="B1488" s="3" t="str">
        <f>"00473038"</f>
        <v>00473038</v>
      </c>
    </row>
    <row r="1489" spans="1:2" x14ac:dyDescent="0.25">
      <c r="A1489" s="3">
        <v>1484</v>
      </c>
      <c r="B1489" s="3" t="str">
        <f>"00473039"</f>
        <v>00473039</v>
      </c>
    </row>
    <row r="1490" spans="1:2" x14ac:dyDescent="0.25">
      <c r="A1490" s="3">
        <v>1485</v>
      </c>
      <c r="B1490" s="3" t="str">
        <f>"00473056"</f>
        <v>00473056</v>
      </c>
    </row>
    <row r="1491" spans="1:2" x14ac:dyDescent="0.25">
      <c r="A1491" s="3">
        <v>1486</v>
      </c>
      <c r="B1491" s="3" t="str">
        <f>"00473078"</f>
        <v>00473078</v>
      </c>
    </row>
    <row r="1492" spans="1:2" x14ac:dyDescent="0.25">
      <c r="A1492" s="3">
        <v>1487</v>
      </c>
      <c r="B1492" s="3" t="str">
        <f>"00473109"</f>
        <v>00473109</v>
      </c>
    </row>
    <row r="1493" spans="1:2" x14ac:dyDescent="0.25">
      <c r="A1493" s="3">
        <v>1488</v>
      </c>
      <c r="B1493" s="3" t="str">
        <f>"00473117"</f>
        <v>00473117</v>
      </c>
    </row>
    <row r="1494" spans="1:2" x14ac:dyDescent="0.25">
      <c r="A1494" s="3">
        <v>1489</v>
      </c>
      <c r="B1494" s="3" t="str">
        <f>"00473122"</f>
        <v>00473122</v>
      </c>
    </row>
    <row r="1495" spans="1:2" x14ac:dyDescent="0.25">
      <c r="A1495" s="3">
        <v>1490</v>
      </c>
      <c r="B1495" s="3" t="str">
        <f>"00473169"</f>
        <v>00473169</v>
      </c>
    </row>
    <row r="1496" spans="1:2" x14ac:dyDescent="0.25">
      <c r="A1496" s="3">
        <v>1491</v>
      </c>
      <c r="B1496" s="3" t="str">
        <f>"00473212"</f>
        <v>00473212</v>
      </c>
    </row>
    <row r="1497" spans="1:2" x14ac:dyDescent="0.25">
      <c r="A1497" s="3">
        <v>1492</v>
      </c>
      <c r="B1497" s="3" t="str">
        <f>"00473225"</f>
        <v>00473225</v>
      </c>
    </row>
    <row r="1498" spans="1:2" x14ac:dyDescent="0.25">
      <c r="A1498" s="3">
        <v>1493</v>
      </c>
      <c r="B1498" s="3" t="str">
        <f>"00473230"</f>
        <v>00473230</v>
      </c>
    </row>
    <row r="1499" spans="1:2" x14ac:dyDescent="0.25">
      <c r="A1499" s="3">
        <v>1494</v>
      </c>
      <c r="B1499" s="3" t="str">
        <f>"00473292"</f>
        <v>00473292</v>
      </c>
    </row>
    <row r="1500" spans="1:2" x14ac:dyDescent="0.25">
      <c r="A1500" s="3">
        <v>1495</v>
      </c>
      <c r="B1500" s="3" t="str">
        <f>"00473493"</f>
        <v>00473493</v>
      </c>
    </row>
    <row r="1501" spans="1:2" x14ac:dyDescent="0.25">
      <c r="A1501" s="3">
        <v>1496</v>
      </c>
      <c r="B1501" s="3" t="str">
        <f>"00473586"</f>
        <v>00473586</v>
      </c>
    </row>
    <row r="1502" spans="1:2" x14ac:dyDescent="0.25">
      <c r="A1502" s="3">
        <v>1497</v>
      </c>
      <c r="B1502" s="3" t="str">
        <f>"00473645"</f>
        <v>00473645</v>
      </c>
    </row>
    <row r="1503" spans="1:2" x14ac:dyDescent="0.25">
      <c r="A1503" s="3">
        <v>1498</v>
      </c>
      <c r="B1503" s="3" t="str">
        <f>"00473746"</f>
        <v>00473746</v>
      </c>
    </row>
    <row r="1504" spans="1:2" x14ac:dyDescent="0.25">
      <c r="A1504" s="3">
        <v>1499</v>
      </c>
      <c r="B1504" s="3" t="str">
        <f>"00473840"</f>
        <v>00473840</v>
      </c>
    </row>
    <row r="1505" spans="1:2" x14ac:dyDescent="0.25">
      <c r="A1505" s="3">
        <v>1500</v>
      </c>
      <c r="B1505" s="3" t="str">
        <f>"00473856"</f>
        <v>00473856</v>
      </c>
    </row>
    <row r="1506" spans="1:2" x14ac:dyDescent="0.25">
      <c r="A1506" s="3">
        <v>1501</v>
      </c>
      <c r="B1506" s="3" t="str">
        <f>"00473858"</f>
        <v>00473858</v>
      </c>
    </row>
    <row r="1507" spans="1:2" x14ac:dyDescent="0.25">
      <c r="A1507" s="3">
        <v>1502</v>
      </c>
      <c r="B1507" s="3" t="str">
        <f>"00473877"</f>
        <v>00473877</v>
      </c>
    </row>
    <row r="1508" spans="1:2" x14ac:dyDescent="0.25">
      <c r="A1508" s="3">
        <v>1503</v>
      </c>
      <c r="B1508" s="3" t="str">
        <f>"00473900"</f>
        <v>00473900</v>
      </c>
    </row>
    <row r="1509" spans="1:2" x14ac:dyDescent="0.25">
      <c r="A1509" s="3">
        <v>1504</v>
      </c>
      <c r="B1509" s="3" t="str">
        <f>"00473969"</f>
        <v>00473969</v>
      </c>
    </row>
    <row r="1510" spans="1:2" x14ac:dyDescent="0.25">
      <c r="A1510" s="3">
        <v>1505</v>
      </c>
      <c r="B1510" s="3" t="str">
        <f>"00473993"</f>
        <v>00473993</v>
      </c>
    </row>
    <row r="1511" spans="1:2" x14ac:dyDescent="0.25">
      <c r="A1511" s="3">
        <v>1506</v>
      </c>
      <c r="B1511" s="3" t="str">
        <f>"00474024"</f>
        <v>00474024</v>
      </c>
    </row>
    <row r="1512" spans="1:2" x14ac:dyDescent="0.25">
      <c r="A1512" s="3">
        <v>1507</v>
      </c>
      <c r="B1512" s="3" t="str">
        <f>"00474028"</f>
        <v>00474028</v>
      </c>
    </row>
    <row r="1513" spans="1:2" x14ac:dyDescent="0.25">
      <c r="A1513" s="3">
        <v>1508</v>
      </c>
      <c r="B1513" s="3" t="str">
        <f>"00474072"</f>
        <v>00474072</v>
      </c>
    </row>
    <row r="1514" spans="1:2" x14ac:dyDescent="0.25">
      <c r="A1514" s="3">
        <v>1509</v>
      </c>
      <c r="B1514" s="3" t="str">
        <f>"00474213"</f>
        <v>00474213</v>
      </c>
    </row>
    <row r="1515" spans="1:2" x14ac:dyDescent="0.25">
      <c r="A1515" s="3">
        <v>1510</v>
      </c>
      <c r="B1515" s="3" t="str">
        <f>"00474226"</f>
        <v>00474226</v>
      </c>
    </row>
    <row r="1516" spans="1:2" x14ac:dyDescent="0.25">
      <c r="A1516" s="3">
        <v>1511</v>
      </c>
      <c r="B1516" s="3" t="str">
        <f>"00474253"</f>
        <v>00474253</v>
      </c>
    </row>
    <row r="1517" spans="1:2" x14ac:dyDescent="0.25">
      <c r="A1517" s="3">
        <v>1512</v>
      </c>
      <c r="B1517" s="3" t="str">
        <f>"00474348"</f>
        <v>00474348</v>
      </c>
    </row>
    <row r="1518" spans="1:2" x14ac:dyDescent="0.25">
      <c r="A1518" s="3">
        <v>1513</v>
      </c>
      <c r="B1518" s="3" t="str">
        <f>"00474482"</f>
        <v>00474482</v>
      </c>
    </row>
    <row r="1519" spans="1:2" x14ac:dyDescent="0.25">
      <c r="A1519" s="3">
        <v>1514</v>
      </c>
      <c r="B1519" s="3" t="str">
        <f>"00474501"</f>
        <v>00474501</v>
      </c>
    </row>
    <row r="1520" spans="1:2" x14ac:dyDescent="0.25">
      <c r="A1520" s="3">
        <v>1515</v>
      </c>
      <c r="B1520" s="3" t="str">
        <f>"00474520"</f>
        <v>00474520</v>
      </c>
    </row>
    <row r="1521" spans="1:2" x14ac:dyDescent="0.25">
      <c r="A1521" s="3">
        <v>1516</v>
      </c>
      <c r="B1521" s="3" t="str">
        <f>"00474579"</f>
        <v>00474579</v>
      </c>
    </row>
    <row r="1522" spans="1:2" x14ac:dyDescent="0.25">
      <c r="A1522" s="3">
        <v>1517</v>
      </c>
      <c r="B1522" s="3" t="str">
        <f>"00474581"</f>
        <v>00474581</v>
      </c>
    </row>
    <row r="1523" spans="1:2" x14ac:dyDescent="0.25">
      <c r="A1523" s="3">
        <v>1518</v>
      </c>
      <c r="B1523" s="3" t="str">
        <f>"00474583"</f>
        <v>00474583</v>
      </c>
    </row>
    <row r="1524" spans="1:2" x14ac:dyDescent="0.25">
      <c r="A1524" s="3">
        <v>1519</v>
      </c>
      <c r="B1524" s="3" t="str">
        <f>"00474587"</f>
        <v>00474587</v>
      </c>
    </row>
    <row r="1525" spans="1:2" x14ac:dyDescent="0.25">
      <c r="A1525" s="3">
        <v>1520</v>
      </c>
      <c r="B1525" s="3" t="str">
        <f>"00474684"</f>
        <v>00474684</v>
      </c>
    </row>
    <row r="1526" spans="1:2" x14ac:dyDescent="0.25">
      <c r="A1526" s="3">
        <v>1521</v>
      </c>
      <c r="B1526" s="3" t="str">
        <f>"00474815"</f>
        <v>00474815</v>
      </c>
    </row>
    <row r="1527" spans="1:2" x14ac:dyDescent="0.25">
      <c r="A1527" s="3">
        <v>1522</v>
      </c>
      <c r="B1527" s="3" t="str">
        <f>"00474820"</f>
        <v>00474820</v>
      </c>
    </row>
    <row r="1528" spans="1:2" x14ac:dyDescent="0.25">
      <c r="A1528" s="3">
        <v>1523</v>
      </c>
      <c r="B1528" s="3" t="str">
        <f>"00474926"</f>
        <v>00474926</v>
      </c>
    </row>
    <row r="1529" spans="1:2" x14ac:dyDescent="0.25">
      <c r="A1529" s="3">
        <v>1524</v>
      </c>
      <c r="B1529" s="3" t="str">
        <f>"00474966"</f>
        <v>00474966</v>
      </c>
    </row>
    <row r="1530" spans="1:2" x14ac:dyDescent="0.25">
      <c r="A1530" s="3">
        <v>1525</v>
      </c>
      <c r="B1530" s="3" t="str">
        <f>"00475017"</f>
        <v>00475017</v>
      </c>
    </row>
    <row r="1531" spans="1:2" x14ac:dyDescent="0.25">
      <c r="A1531" s="3">
        <v>1526</v>
      </c>
      <c r="B1531" s="3" t="str">
        <f>"00475078"</f>
        <v>00475078</v>
      </c>
    </row>
    <row r="1532" spans="1:2" x14ac:dyDescent="0.25">
      <c r="A1532" s="3">
        <v>1527</v>
      </c>
      <c r="B1532" s="3" t="str">
        <f>"00475224"</f>
        <v>00475224</v>
      </c>
    </row>
    <row r="1533" spans="1:2" x14ac:dyDescent="0.25">
      <c r="A1533" s="3">
        <v>1528</v>
      </c>
      <c r="B1533" s="3" t="str">
        <f>"00475343"</f>
        <v>00475343</v>
      </c>
    </row>
    <row r="1534" spans="1:2" x14ac:dyDescent="0.25">
      <c r="A1534" s="3">
        <v>1529</v>
      </c>
      <c r="B1534" s="3" t="str">
        <f>"00475371"</f>
        <v>00475371</v>
      </c>
    </row>
    <row r="1535" spans="1:2" x14ac:dyDescent="0.25">
      <c r="A1535" s="3">
        <v>1530</v>
      </c>
      <c r="B1535" s="3" t="str">
        <f>"00475481"</f>
        <v>00475481</v>
      </c>
    </row>
    <row r="1536" spans="1:2" x14ac:dyDescent="0.25">
      <c r="A1536" s="3">
        <v>1531</v>
      </c>
      <c r="B1536" s="3" t="str">
        <f>"00475498"</f>
        <v>00475498</v>
      </c>
    </row>
    <row r="1537" spans="1:2" x14ac:dyDescent="0.25">
      <c r="A1537" s="3">
        <v>1532</v>
      </c>
      <c r="B1537" s="3" t="str">
        <f>"00475590"</f>
        <v>00475590</v>
      </c>
    </row>
    <row r="1538" spans="1:2" x14ac:dyDescent="0.25">
      <c r="A1538" s="3">
        <v>1533</v>
      </c>
      <c r="B1538" s="3" t="str">
        <f>"00475639"</f>
        <v>00475639</v>
      </c>
    </row>
    <row r="1539" spans="1:2" x14ac:dyDescent="0.25">
      <c r="A1539" s="3">
        <v>1534</v>
      </c>
      <c r="B1539" s="3" t="str">
        <f>"00475732"</f>
        <v>00475732</v>
      </c>
    </row>
    <row r="1540" spans="1:2" x14ac:dyDescent="0.25">
      <c r="A1540" s="3">
        <v>1535</v>
      </c>
      <c r="B1540" s="3" t="str">
        <f>"00475758"</f>
        <v>00475758</v>
      </c>
    </row>
    <row r="1541" spans="1:2" x14ac:dyDescent="0.25">
      <c r="A1541" s="3">
        <v>1536</v>
      </c>
      <c r="B1541" s="3" t="str">
        <f>"00475836"</f>
        <v>00475836</v>
      </c>
    </row>
    <row r="1542" spans="1:2" x14ac:dyDescent="0.25">
      <c r="A1542" s="3">
        <v>1537</v>
      </c>
      <c r="B1542" s="3" t="str">
        <f>"00475905"</f>
        <v>00475905</v>
      </c>
    </row>
    <row r="1543" spans="1:2" x14ac:dyDescent="0.25">
      <c r="A1543" s="3">
        <v>1538</v>
      </c>
      <c r="B1543" s="3" t="str">
        <f>"00476070"</f>
        <v>00476070</v>
      </c>
    </row>
    <row r="1544" spans="1:2" x14ac:dyDescent="0.25">
      <c r="A1544" s="3">
        <v>1539</v>
      </c>
      <c r="B1544" s="3" t="str">
        <f>"00476645"</f>
        <v>00476645</v>
      </c>
    </row>
    <row r="1545" spans="1:2" x14ac:dyDescent="0.25">
      <c r="A1545" s="3">
        <v>1540</v>
      </c>
      <c r="B1545" s="3" t="str">
        <f>"00476695"</f>
        <v>00476695</v>
      </c>
    </row>
    <row r="1546" spans="1:2" x14ac:dyDescent="0.25">
      <c r="A1546" s="3">
        <v>1541</v>
      </c>
      <c r="B1546" s="3" t="str">
        <f>"00476704"</f>
        <v>00476704</v>
      </c>
    </row>
    <row r="1547" spans="1:2" x14ac:dyDescent="0.25">
      <c r="A1547" s="3">
        <v>1542</v>
      </c>
      <c r="B1547" s="3" t="str">
        <f>"00476735"</f>
        <v>00476735</v>
      </c>
    </row>
    <row r="1548" spans="1:2" x14ac:dyDescent="0.25">
      <c r="A1548" s="3">
        <v>1543</v>
      </c>
      <c r="B1548" s="3" t="str">
        <f>"00476761"</f>
        <v>00476761</v>
      </c>
    </row>
    <row r="1549" spans="1:2" x14ac:dyDescent="0.25">
      <c r="A1549" s="3">
        <v>1544</v>
      </c>
      <c r="B1549" s="3" t="str">
        <f>"00476805"</f>
        <v>00476805</v>
      </c>
    </row>
    <row r="1550" spans="1:2" x14ac:dyDescent="0.25">
      <c r="A1550" s="3">
        <v>1545</v>
      </c>
      <c r="B1550" s="3" t="str">
        <f>"00476987"</f>
        <v>00476987</v>
      </c>
    </row>
    <row r="1551" spans="1:2" x14ac:dyDescent="0.25">
      <c r="A1551" s="3">
        <v>1546</v>
      </c>
      <c r="B1551" s="3" t="str">
        <f>"00476989"</f>
        <v>00476989</v>
      </c>
    </row>
    <row r="1552" spans="1:2" x14ac:dyDescent="0.25">
      <c r="A1552" s="3">
        <v>1547</v>
      </c>
      <c r="B1552" s="3" t="str">
        <f>"00476992"</f>
        <v>00476992</v>
      </c>
    </row>
    <row r="1553" spans="1:2" x14ac:dyDescent="0.25">
      <c r="A1553" s="3">
        <v>1548</v>
      </c>
      <c r="B1553" s="3" t="str">
        <f>"00476993"</f>
        <v>00476993</v>
      </c>
    </row>
    <row r="1554" spans="1:2" x14ac:dyDescent="0.25">
      <c r="A1554" s="3">
        <v>1549</v>
      </c>
      <c r="B1554" s="3" t="str">
        <f>"00477041"</f>
        <v>00477041</v>
      </c>
    </row>
    <row r="1555" spans="1:2" x14ac:dyDescent="0.25">
      <c r="A1555" s="3">
        <v>1550</v>
      </c>
      <c r="B1555" s="3" t="str">
        <f>"00477099"</f>
        <v>00477099</v>
      </c>
    </row>
    <row r="1556" spans="1:2" x14ac:dyDescent="0.25">
      <c r="A1556" s="3">
        <v>1551</v>
      </c>
      <c r="B1556" s="3" t="str">
        <f>"00477413"</f>
        <v>00477413</v>
      </c>
    </row>
    <row r="1557" spans="1:2" x14ac:dyDescent="0.25">
      <c r="A1557" s="3">
        <v>1552</v>
      </c>
      <c r="B1557" s="3" t="str">
        <f>"00477558"</f>
        <v>00477558</v>
      </c>
    </row>
    <row r="1558" spans="1:2" x14ac:dyDescent="0.25">
      <c r="A1558" s="3">
        <v>1553</v>
      </c>
      <c r="B1558" s="3" t="str">
        <f>"00477565"</f>
        <v>00477565</v>
      </c>
    </row>
    <row r="1559" spans="1:2" x14ac:dyDescent="0.25">
      <c r="A1559" s="3">
        <v>1554</v>
      </c>
      <c r="B1559" s="3" t="str">
        <f>"00477566"</f>
        <v>00477566</v>
      </c>
    </row>
    <row r="1560" spans="1:2" x14ac:dyDescent="0.25">
      <c r="A1560" s="3">
        <v>1555</v>
      </c>
      <c r="B1560" s="3" t="str">
        <f>"00477620"</f>
        <v>00477620</v>
      </c>
    </row>
    <row r="1561" spans="1:2" x14ac:dyDescent="0.25">
      <c r="A1561" s="3">
        <v>1556</v>
      </c>
      <c r="B1561" s="3" t="str">
        <f>"00477643"</f>
        <v>00477643</v>
      </c>
    </row>
    <row r="1562" spans="1:2" x14ac:dyDescent="0.25">
      <c r="A1562" s="3">
        <v>1557</v>
      </c>
      <c r="B1562" s="3" t="str">
        <f>"00477696"</f>
        <v>00477696</v>
      </c>
    </row>
    <row r="1563" spans="1:2" x14ac:dyDescent="0.25">
      <c r="A1563" s="3">
        <v>1558</v>
      </c>
      <c r="B1563" s="3" t="str">
        <f>"00477746"</f>
        <v>00477746</v>
      </c>
    </row>
    <row r="1564" spans="1:2" x14ac:dyDescent="0.25">
      <c r="A1564" s="3">
        <v>1559</v>
      </c>
      <c r="B1564" s="3" t="str">
        <f>"00477751"</f>
        <v>00477751</v>
      </c>
    </row>
    <row r="1565" spans="1:2" x14ac:dyDescent="0.25">
      <c r="A1565" s="3">
        <v>1560</v>
      </c>
      <c r="B1565" s="3" t="str">
        <f>"00477756"</f>
        <v>00477756</v>
      </c>
    </row>
    <row r="1566" spans="1:2" x14ac:dyDescent="0.25">
      <c r="A1566" s="3">
        <v>1561</v>
      </c>
      <c r="B1566" s="3" t="str">
        <f>"00477763"</f>
        <v>00477763</v>
      </c>
    </row>
    <row r="1567" spans="1:2" x14ac:dyDescent="0.25">
      <c r="A1567" s="3">
        <v>1562</v>
      </c>
      <c r="B1567" s="3" t="str">
        <f>"00477775"</f>
        <v>00477775</v>
      </c>
    </row>
    <row r="1568" spans="1:2" x14ac:dyDescent="0.25">
      <c r="A1568" s="3">
        <v>1563</v>
      </c>
      <c r="B1568" s="3" t="str">
        <f>"00477804"</f>
        <v>00477804</v>
      </c>
    </row>
    <row r="1569" spans="1:2" x14ac:dyDescent="0.25">
      <c r="A1569" s="3">
        <v>1564</v>
      </c>
      <c r="B1569" s="3" t="str">
        <f>"00477930"</f>
        <v>00477930</v>
      </c>
    </row>
    <row r="1570" spans="1:2" x14ac:dyDescent="0.25">
      <c r="A1570" s="3">
        <v>1565</v>
      </c>
      <c r="B1570" s="3" t="str">
        <f>"00477958"</f>
        <v>00477958</v>
      </c>
    </row>
    <row r="1571" spans="1:2" x14ac:dyDescent="0.25">
      <c r="A1571" s="3">
        <v>1566</v>
      </c>
      <c r="B1571" s="3" t="str">
        <f>"00478152"</f>
        <v>00478152</v>
      </c>
    </row>
    <row r="1572" spans="1:2" x14ac:dyDescent="0.25">
      <c r="A1572" s="3">
        <v>1567</v>
      </c>
      <c r="B1572" s="3" t="str">
        <f>"00478296"</f>
        <v>00478296</v>
      </c>
    </row>
    <row r="1573" spans="1:2" x14ac:dyDescent="0.25">
      <c r="A1573" s="3">
        <v>1568</v>
      </c>
      <c r="B1573" s="3" t="str">
        <f>"00478473"</f>
        <v>00478473</v>
      </c>
    </row>
    <row r="1574" spans="1:2" x14ac:dyDescent="0.25">
      <c r="A1574" s="3">
        <v>1569</v>
      </c>
      <c r="B1574" s="3" t="str">
        <f>"00478690"</f>
        <v>00478690</v>
      </c>
    </row>
    <row r="1575" spans="1:2" x14ac:dyDescent="0.25">
      <c r="A1575" s="3">
        <v>1570</v>
      </c>
      <c r="B1575" s="3" t="str">
        <f>"00478733"</f>
        <v>00478733</v>
      </c>
    </row>
    <row r="1576" spans="1:2" x14ac:dyDescent="0.25">
      <c r="A1576" s="3">
        <v>1571</v>
      </c>
      <c r="B1576" s="3" t="str">
        <f>"00478949"</f>
        <v>00478949</v>
      </c>
    </row>
    <row r="1577" spans="1:2" x14ac:dyDescent="0.25">
      <c r="A1577" s="3">
        <v>1572</v>
      </c>
      <c r="B1577" s="3" t="str">
        <f>"00479064"</f>
        <v>00479064</v>
      </c>
    </row>
    <row r="1578" spans="1:2" x14ac:dyDescent="0.25">
      <c r="A1578" s="3">
        <v>1573</v>
      </c>
      <c r="B1578" s="3" t="str">
        <f>"00479200"</f>
        <v>00479200</v>
      </c>
    </row>
    <row r="1579" spans="1:2" x14ac:dyDescent="0.25">
      <c r="A1579" s="3">
        <v>1574</v>
      </c>
      <c r="B1579" s="3" t="str">
        <f>"00479244"</f>
        <v>00479244</v>
      </c>
    </row>
    <row r="1580" spans="1:2" x14ac:dyDescent="0.25">
      <c r="A1580" s="3">
        <v>1575</v>
      </c>
      <c r="B1580" s="3" t="str">
        <f>"00479276"</f>
        <v>00479276</v>
      </c>
    </row>
    <row r="1581" spans="1:2" x14ac:dyDescent="0.25">
      <c r="A1581" s="3">
        <v>1576</v>
      </c>
      <c r="B1581" s="3" t="str">
        <f>"00479301"</f>
        <v>00479301</v>
      </c>
    </row>
    <row r="1582" spans="1:2" x14ac:dyDescent="0.25">
      <c r="A1582" s="3">
        <v>1577</v>
      </c>
      <c r="B1582" s="3" t="str">
        <f>"00479344"</f>
        <v>00479344</v>
      </c>
    </row>
    <row r="1583" spans="1:2" x14ac:dyDescent="0.25">
      <c r="A1583" s="3">
        <v>1578</v>
      </c>
      <c r="B1583" s="3" t="str">
        <f>"00479346"</f>
        <v>00479346</v>
      </c>
    </row>
    <row r="1584" spans="1:2" x14ac:dyDescent="0.25">
      <c r="A1584" s="3">
        <v>1579</v>
      </c>
      <c r="B1584" s="3" t="str">
        <f>"00479403"</f>
        <v>00479403</v>
      </c>
    </row>
    <row r="1585" spans="1:2" x14ac:dyDescent="0.25">
      <c r="A1585" s="3">
        <v>1580</v>
      </c>
      <c r="B1585" s="3" t="str">
        <f>"00479446"</f>
        <v>00479446</v>
      </c>
    </row>
    <row r="1586" spans="1:2" x14ac:dyDescent="0.25">
      <c r="A1586" s="3">
        <v>1581</v>
      </c>
      <c r="B1586" s="3" t="str">
        <f>"00479595"</f>
        <v>00479595</v>
      </c>
    </row>
    <row r="1587" spans="1:2" x14ac:dyDescent="0.25">
      <c r="A1587" s="3">
        <v>1582</v>
      </c>
      <c r="B1587" s="3" t="str">
        <f>"00479750"</f>
        <v>00479750</v>
      </c>
    </row>
    <row r="1588" spans="1:2" x14ac:dyDescent="0.25">
      <c r="A1588" s="3">
        <v>1583</v>
      </c>
      <c r="B1588" s="3" t="str">
        <f>"00479960"</f>
        <v>00479960</v>
      </c>
    </row>
    <row r="1589" spans="1:2" x14ac:dyDescent="0.25">
      <c r="A1589" s="3">
        <v>1584</v>
      </c>
      <c r="B1589" s="3" t="str">
        <f>"00480031"</f>
        <v>00480031</v>
      </c>
    </row>
    <row r="1590" spans="1:2" x14ac:dyDescent="0.25">
      <c r="A1590" s="3">
        <v>1585</v>
      </c>
      <c r="B1590" s="3" t="str">
        <f>"00480067"</f>
        <v>00480067</v>
      </c>
    </row>
    <row r="1591" spans="1:2" x14ac:dyDescent="0.25">
      <c r="A1591" s="3">
        <v>1586</v>
      </c>
      <c r="B1591" s="3" t="str">
        <f>"00480102"</f>
        <v>00480102</v>
      </c>
    </row>
    <row r="1592" spans="1:2" x14ac:dyDescent="0.25">
      <c r="A1592" s="3">
        <v>1587</v>
      </c>
      <c r="B1592" s="3" t="str">
        <f>"00480339"</f>
        <v>00480339</v>
      </c>
    </row>
    <row r="1593" spans="1:2" x14ac:dyDescent="0.25">
      <c r="A1593" s="3">
        <v>1588</v>
      </c>
      <c r="B1593" s="3" t="str">
        <f>"00480363"</f>
        <v>00480363</v>
      </c>
    </row>
    <row r="1594" spans="1:2" x14ac:dyDescent="0.25">
      <c r="A1594" s="3">
        <v>1589</v>
      </c>
      <c r="B1594" s="3" t="str">
        <f>"00480405"</f>
        <v>00480405</v>
      </c>
    </row>
    <row r="1595" spans="1:2" x14ac:dyDescent="0.25">
      <c r="A1595" s="3">
        <v>1590</v>
      </c>
      <c r="B1595" s="3" t="str">
        <f>"00480455"</f>
        <v>00480455</v>
      </c>
    </row>
    <row r="1596" spans="1:2" x14ac:dyDescent="0.25">
      <c r="A1596" s="3">
        <v>1591</v>
      </c>
      <c r="B1596" s="3" t="str">
        <f>"00480456"</f>
        <v>00480456</v>
      </c>
    </row>
    <row r="1597" spans="1:2" x14ac:dyDescent="0.25">
      <c r="A1597" s="3">
        <v>1592</v>
      </c>
      <c r="B1597" s="3" t="str">
        <f>"00480564"</f>
        <v>00480564</v>
      </c>
    </row>
    <row r="1598" spans="1:2" x14ac:dyDescent="0.25">
      <c r="A1598" s="3">
        <v>1593</v>
      </c>
      <c r="B1598" s="3" t="str">
        <f>"00480601"</f>
        <v>00480601</v>
      </c>
    </row>
    <row r="1599" spans="1:2" x14ac:dyDescent="0.25">
      <c r="A1599" s="3">
        <v>1594</v>
      </c>
      <c r="B1599" s="3" t="str">
        <f>"00480688"</f>
        <v>00480688</v>
      </c>
    </row>
    <row r="1600" spans="1:2" x14ac:dyDescent="0.25">
      <c r="A1600" s="3">
        <v>1595</v>
      </c>
      <c r="B1600" s="3" t="str">
        <f>"00480690"</f>
        <v>00480690</v>
      </c>
    </row>
    <row r="1601" spans="1:2" x14ac:dyDescent="0.25">
      <c r="A1601" s="3">
        <v>1596</v>
      </c>
      <c r="B1601" s="3" t="str">
        <f>"00480725"</f>
        <v>00480725</v>
      </c>
    </row>
    <row r="1602" spans="1:2" x14ac:dyDescent="0.25">
      <c r="A1602" s="3">
        <v>1597</v>
      </c>
      <c r="B1602" s="3" t="str">
        <f>"00480807"</f>
        <v>00480807</v>
      </c>
    </row>
    <row r="1603" spans="1:2" x14ac:dyDescent="0.25">
      <c r="A1603" s="3">
        <v>1598</v>
      </c>
      <c r="B1603" s="3" t="str">
        <f>"00480819"</f>
        <v>00480819</v>
      </c>
    </row>
    <row r="1604" spans="1:2" x14ac:dyDescent="0.25">
      <c r="A1604" s="3">
        <v>1599</v>
      </c>
      <c r="B1604" s="3" t="str">
        <f>"00480884"</f>
        <v>00480884</v>
      </c>
    </row>
    <row r="1605" spans="1:2" x14ac:dyDescent="0.25">
      <c r="A1605" s="3">
        <v>1600</v>
      </c>
      <c r="B1605" s="3" t="str">
        <f>"00481031"</f>
        <v>00481031</v>
      </c>
    </row>
    <row r="1606" spans="1:2" x14ac:dyDescent="0.25">
      <c r="A1606" s="3">
        <v>1601</v>
      </c>
      <c r="B1606" s="3" t="str">
        <f>"00481071"</f>
        <v>00481071</v>
      </c>
    </row>
    <row r="1607" spans="1:2" x14ac:dyDescent="0.25">
      <c r="A1607" s="3">
        <v>1602</v>
      </c>
      <c r="B1607" s="3" t="str">
        <f>"00481191"</f>
        <v>00481191</v>
      </c>
    </row>
    <row r="1608" spans="1:2" x14ac:dyDescent="0.25">
      <c r="A1608" s="3">
        <v>1603</v>
      </c>
      <c r="B1608" s="3" t="str">
        <f>"00481299"</f>
        <v>00481299</v>
      </c>
    </row>
    <row r="1609" spans="1:2" x14ac:dyDescent="0.25">
      <c r="A1609" s="3">
        <v>1604</v>
      </c>
      <c r="B1609" s="3" t="str">
        <f>"00481330"</f>
        <v>00481330</v>
      </c>
    </row>
    <row r="1610" spans="1:2" x14ac:dyDescent="0.25">
      <c r="A1610" s="3">
        <v>1605</v>
      </c>
      <c r="B1610" s="3" t="str">
        <f>"00481447"</f>
        <v>00481447</v>
      </c>
    </row>
    <row r="1611" spans="1:2" x14ac:dyDescent="0.25">
      <c r="A1611" s="3">
        <v>1606</v>
      </c>
      <c r="B1611" s="3" t="str">
        <f>"00481617"</f>
        <v>00481617</v>
      </c>
    </row>
    <row r="1612" spans="1:2" x14ac:dyDescent="0.25">
      <c r="A1612" s="3">
        <v>1607</v>
      </c>
      <c r="B1612" s="3" t="str">
        <f>"00482025"</f>
        <v>00482025</v>
      </c>
    </row>
    <row r="1613" spans="1:2" x14ac:dyDescent="0.25">
      <c r="A1613" s="3">
        <v>1608</v>
      </c>
      <c r="B1613" s="3" t="str">
        <f>"00482132"</f>
        <v>00482132</v>
      </c>
    </row>
    <row r="1614" spans="1:2" x14ac:dyDescent="0.25">
      <c r="A1614" s="3">
        <v>1609</v>
      </c>
      <c r="B1614" s="3" t="str">
        <f>"00482242"</f>
        <v>00482242</v>
      </c>
    </row>
    <row r="1615" spans="1:2" x14ac:dyDescent="0.25">
      <c r="A1615" s="3">
        <v>1610</v>
      </c>
      <c r="B1615" s="3" t="str">
        <f>"00482327"</f>
        <v>00482327</v>
      </c>
    </row>
    <row r="1616" spans="1:2" x14ac:dyDescent="0.25">
      <c r="A1616" s="3">
        <v>1611</v>
      </c>
      <c r="B1616" s="3" t="str">
        <f>"00482853"</f>
        <v>00482853</v>
      </c>
    </row>
    <row r="1617" spans="1:2" x14ac:dyDescent="0.25">
      <c r="A1617" s="3">
        <v>1612</v>
      </c>
      <c r="B1617" s="3" t="str">
        <f>"00482874"</f>
        <v>00482874</v>
      </c>
    </row>
    <row r="1618" spans="1:2" x14ac:dyDescent="0.25">
      <c r="A1618" s="3">
        <v>1613</v>
      </c>
      <c r="B1618" s="3" t="str">
        <f>"00482999"</f>
        <v>00482999</v>
      </c>
    </row>
    <row r="1619" spans="1:2" x14ac:dyDescent="0.25">
      <c r="A1619" s="3">
        <v>1614</v>
      </c>
      <c r="B1619" s="3" t="str">
        <f>"00483000"</f>
        <v>00483000</v>
      </c>
    </row>
    <row r="1620" spans="1:2" x14ac:dyDescent="0.25">
      <c r="A1620" s="3">
        <v>1615</v>
      </c>
      <c r="B1620" s="3" t="str">
        <f>"00483028"</f>
        <v>00483028</v>
      </c>
    </row>
    <row r="1621" spans="1:2" x14ac:dyDescent="0.25">
      <c r="A1621" s="3">
        <v>1616</v>
      </c>
      <c r="B1621" s="3" t="str">
        <f>"00483041"</f>
        <v>00483041</v>
      </c>
    </row>
    <row r="1622" spans="1:2" x14ac:dyDescent="0.25">
      <c r="A1622" s="3">
        <v>1617</v>
      </c>
      <c r="B1622" s="3" t="str">
        <f>"00483078"</f>
        <v>00483078</v>
      </c>
    </row>
    <row r="1623" spans="1:2" x14ac:dyDescent="0.25">
      <c r="A1623" s="3">
        <v>1618</v>
      </c>
      <c r="B1623" s="3" t="str">
        <f>"00483207"</f>
        <v>00483207</v>
      </c>
    </row>
    <row r="1624" spans="1:2" x14ac:dyDescent="0.25">
      <c r="A1624" s="3">
        <v>1619</v>
      </c>
      <c r="B1624" s="3" t="str">
        <f>"00483426"</f>
        <v>00483426</v>
      </c>
    </row>
    <row r="1625" spans="1:2" x14ac:dyDescent="0.25">
      <c r="A1625" s="3">
        <v>1620</v>
      </c>
      <c r="B1625" s="3" t="str">
        <f>"00483710"</f>
        <v>00483710</v>
      </c>
    </row>
    <row r="1626" spans="1:2" x14ac:dyDescent="0.25">
      <c r="A1626" s="3">
        <v>1621</v>
      </c>
      <c r="B1626" s="3" t="str">
        <f>"00483952"</f>
        <v>00483952</v>
      </c>
    </row>
    <row r="1627" spans="1:2" x14ac:dyDescent="0.25">
      <c r="A1627" s="3">
        <v>1622</v>
      </c>
      <c r="B1627" s="3" t="str">
        <f>"00483957"</f>
        <v>00483957</v>
      </c>
    </row>
    <row r="1628" spans="1:2" x14ac:dyDescent="0.25">
      <c r="A1628" s="3">
        <v>1623</v>
      </c>
      <c r="B1628" s="3" t="str">
        <f>"00483966"</f>
        <v>00483966</v>
      </c>
    </row>
    <row r="1629" spans="1:2" x14ac:dyDescent="0.25">
      <c r="A1629" s="3">
        <v>1624</v>
      </c>
      <c r="B1629" s="3" t="str">
        <f>"00484017"</f>
        <v>00484017</v>
      </c>
    </row>
    <row r="1630" spans="1:2" x14ac:dyDescent="0.25">
      <c r="A1630" s="3">
        <v>1625</v>
      </c>
      <c r="B1630" s="3" t="str">
        <f>"00484030"</f>
        <v>00484030</v>
      </c>
    </row>
    <row r="1631" spans="1:2" x14ac:dyDescent="0.25">
      <c r="A1631" s="3">
        <v>1626</v>
      </c>
      <c r="B1631" s="3" t="str">
        <f>"00484092"</f>
        <v>00484092</v>
      </c>
    </row>
    <row r="1632" spans="1:2" x14ac:dyDescent="0.25">
      <c r="A1632" s="3">
        <v>1627</v>
      </c>
      <c r="B1632" s="3" t="str">
        <f>"00484129"</f>
        <v>00484129</v>
      </c>
    </row>
    <row r="1633" spans="1:2" x14ac:dyDescent="0.25">
      <c r="A1633" s="3">
        <v>1628</v>
      </c>
      <c r="B1633" s="3" t="str">
        <f>"00484135"</f>
        <v>00484135</v>
      </c>
    </row>
    <row r="1634" spans="1:2" x14ac:dyDescent="0.25">
      <c r="A1634" s="3">
        <v>1629</v>
      </c>
      <c r="B1634" s="3" t="str">
        <f>"00484276"</f>
        <v>00484276</v>
      </c>
    </row>
    <row r="1635" spans="1:2" x14ac:dyDescent="0.25">
      <c r="A1635" s="3">
        <v>1630</v>
      </c>
      <c r="B1635" s="3" t="str">
        <f>"00484423"</f>
        <v>00484423</v>
      </c>
    </row>
    <row r="1636" spans="1:2" x14ac:dyDescent="0.25">
      <c r="A1636" s="3">
        <v>1631</v>
      </c>
      <c r="B1636" s="3" t="str">
        <f>"00484461"</f>
        <v>00484461</v>
      </c>
    </row>
    <row r="1637" spans="1:2" x14ac:dyDescent="0.25">
      <c r="A1637" s="3">
        <v>1632</v>
      </c>
      <c r="B1637" s="3" t="str">
        <f>"00484501"</f>
        <v>00484501</v>
      </c>
    </row>
    <row r="1638" spans="1:2" x14ac:dyDescent="0.25">
      <c r="A1638" s="3">
        <v>1633</v>
      </c>
      <c r="B1638" s="3" t="str">
        <f>"00484661"</f>
        <v>00484661</v>
      </c>
    </row>
    <row r="1639" spans="1:2" x14ac:dyDescent="0.25">
      <c r="A1639" s="3">
        <v>1634</v>
      </c>
      <c r="B1639" s="3" t="str">
        <f>"00484664"</f>
        <v>00484664</v>
      </c>
    </row>
    <row r="1640" spans="1:2" x14ac:dyDescent="0.25">
      <c r="A1640" s="3">
        <v>1635</v>
      </c>
      <c r="B1640" s="3" t="str">
        <f>"00484851"</f>
        <v>00484851</v>
      </c>
    </row>
    <row r="1641" spans="1:2" x14ac:dyDescent="0.25">
      <c r="A1641" s="3">
        <v>1636</v>
      </c>
      <c r="B1641" s="3" t="str">
        <f>"00485095"</f>
        <v>00485095</v>
      </c>
    </row>
    <row r="1642" spans="1:2" x14ac:dyDescent="0.25">
      <c r="A1642" s="3">
        <v>1637</v>
      </c>
      <c r="B1642" s="3" t="str">
        <f>"00485182"</f>
        <v>00485182</v>
      </c>
    </row>
    <row r="1643" spans="1:2" x14ac:dyDescent="0.25">
      <c r="A1643" s="3">
        <v>1638</v>
      </c>
      <c r="B1643" s="3" t="str">
        <f>"00485325"</f>
        <v>00485325</v>
      </c>
    </row>
    <row r="1644" spans="1:2" x14ac:dyDescent="0.25">
      <c r="A1644" s="3">
        <v>1639</v>
      </c>
      <c r="B1644" s="3" t="str">
        <f>"00485349"</f>
        <v>00485349</v>
      </c>
    </row>
    <row r="1645" spans="1:2" x14ac:dyDescent="0.25">
      <c r="A1645" s="3">
        <v>1640</v>
      </c>
      <c r="B1645" s="3" t="str">
        <f>"00485369"</f>
        <v>00485369</v>
      </c>
    </row>
    <row r="1646" spans="1:2" x14ac:dyDescent="0.25">
      <c r="A1646" s="3">
        <v>1641</v>
      </c>
      <c r="B1646" s="3" t="str">
        <f>"00485508"</f>
        <v>00485508</v>
      </c>
    </row>
    <row r="1647" spans="1:2" x14ac:dyDescent="0.25">
      <c r="A1647" s="3">
        <v>1642</v>
      </c>
      <c r="B1647" s="3" t="str">
        <f>"00485524"</f>
        <v>00485524</v>
      </c>
    </row>
    <row r="1648" spans="1:2" x14ac:dyDescent="0.25">
      <c r="A1648" s="3">
        <v>1643</v>
      </c>
      <c r="B1648" s="3" t="str">
        <f>"00485539"</f>
        <v>00485539</v>
      </c>
    </row>
    <row r="1649" spans="1:2" x14ac:dyDescent="0.25">
      <c r="A1649" s="3">
        <v>1644</v>
      </c>
      <c r="B1649" s="3" t="str">
        <f>"00485707"</f>
        <v>00485707</v>
      </c>
    </row>
    <row r="1650" spans="1:2" x14ac:dyDescent="0.25">
      <c r="A1650" s="3">
        <v>1645</v>
      </c>
      <c r="B1650" s="3" t="str">
        <f>"00485713"</f>
        <v>00485713</v>
      </c>
    </row>
    <row r="1651" spans="1:2" x14ac:dyDescent="0.25">
      <c r="A1651" s="3">
        <v>1646</v>
      </c>
      <c r="B1651" s="3" t="str">
        <f>"00485798"</f>
        <v>00485798</v>
      </c>
    </row>
    <row r="1652" spans="1:2" x14ac:dyDescent="0.25">
      <c r="A1652" s="3">
        <v>1647</v>
      </c>
      <c r="B1652" s="3" t="str">
        <f>"00485883"</f>
        <v>00485883</v>
      </c>
    </row>
    <row r="1653" spans="1:2" x14ac:dyDescent="0.25">
      <c r="A1653" s="3">
        <v>1648</v>
      </c>
      <c r="B1653" s="3" t="str">
        <f>"00485888"</f>
        <v>00485888</v>
      </c>
    </row>
    <row r="1654" spans="1:2" x14ac:dyDescent="0.25">
      <c r="A1654" s="3">
        <v>1649</v>
      </c>
      <c r="B1654" s="3" t="str">
        <f>"00485912"</f>
        <v>00485912</v>
      </c>
    </row>
    <row r="1655" spans="1:2" x14ac:dyDescent="0.25">
      <c r="A1655" s="3">
        <v>1650</v>
      </c>
      <c r="B1655" s="3" t="str">
        <f>"00485941"</f>
        <v>00485941</v>
      </c>
    </row>
    <row r="1656" spans="1:2" x14ac:dyDescent="0.25">
      <c r="A1656" s="3">
        <v>1651</v>
      </c>
      <c r="B1656" s="3" t="str">
        <f>"00485980"</f>
        <v>00485980</v>
      </c>
    </row>
    <row r="1657" spans="1:2" x14ac:dyDescent="0.25">
      <c r="A1657" s="3">
        <v>1652</v>
      </c>
      <c r="B1657" s="3" t="str">
        <f>"00486072"</f>
        <v>00486072</v>
      </c>
    </row>
    <row r="1658" spans="1:2" x14ac:dyDescent="0.25">
      <c r="A1658" s="3">
        <v>1653</v>
      </c>
      <c r="B1658" s="3" t="str">
        <f>"00486122"</f>
        <v>00486122</v>
      </c>
    </row>
    <row r="1659" spans="1:2" x14ac:dyDescent="0.25">
      <c r="A1659" s="3">
        <v>1654</v>
      </c>
      <c r="B1659" s="3" t="str">
        <f>"00486165"</f>
        <v>00486165</v>
      </c>
    </row>
    <row r="1660" spans="1:2" x14ac:dyDescent="0.25">
      <c r="A1660" s="3">
        <v>1655</v>
      </c>
      <c r="B1660" s="3" t="str">
        <f>"00486203"</f>
        <v>00486203</v>
      </c>
    </row>
    <row r="1661" spans="1:2" x14ac:dyDescent="0.25">
      <c r="A1661" s="3">
        <v>1656</v>
      </c>
      <c r="B1661" s="3" t="str">
        <f>"00486340"</f>
        <v>00486340</v>
      </c>
    </row>
    <row r="1662" spans="1:2" x14ac:dyDescent="0.25">
      <c r="A1662" s="3">
        <v>1657</v>
      </c>
      <c r="B1662" s="3" t="str">
        <f>"00486452"</f>
        <v>00486452</v>
      </c>
    </row>
    <row r="1663" spans="1:2" x14ac:dyDescent="0.25">
      <c r="A1663" s="3">
        <v>1658</v>
      </c>
      <c r="B1663" s="3" t="str">
        <f>"00486469"</f>
        <v>00486469</v>
      </c>
    </row>
    <row r="1664" spans="1:2" x14ac:dyDescent="0.25">
      <c r="A1664" s="3">
        <v>1659</v>
      </c>
      <c r="B1664" s="3" t="str">
        <f>"00486479"</f>
        <v>00486479</v>
      </c>
    </row>
    <row r="1665" spans="1:2" x14ac:dyDescent="0.25">
      <c r="A1665" s="3">
        <v>1660</v>
      </c>
      <c r="B1665" s="3" t="str">
        <f>"00486524"</f>
        <v>00486524</v>
      </c>
    </row>
    <row r="1666" spans="1:2" x14ac:dyDescent="0.25">
      <c r="A1666" s="3">
        <v>1661</v>
      </c>
      <c r="B1666" s="3" t="str">
        <f>"00486624"</f>
        <v>00486624</v>
      </c>
    </row>
    <row r="1667" spans="1:2" x14ac:dyDescent="0.25">
      <c r="A1667" s="3">
        <v>1662</v>
      </c>
      <c r="B1667" s="3" t="str">
        <f>"00486733"</f>
        <v>00486733</v>
      </c>
    </row>
    <row r="1668" spans="1:2" x14ac:dyDescent="0.25">
      <c r="A1668" s="3">
        <v>1663</v>
      </c>
      <c r="B1668" s="3" t="str">
        <f>"00486742"</f>
        <v>00486742</v>
      </c>
    </row>
    <row r="1669" spans="1:2" x14ac:dyDescent="0.25">
      <c r="A1669" s="3">
        <v>1664</v>
      </c>
      <c r="B1669" s="3" t="str">
        <f>"00486751"</f>
        <v>00486751</v>
      </c>
    </row>
    <row r="1670" spans="1:2" x14ac:dyDescent="0.25">
      <c r="A1670" s="3">
        <v>1665</v>
      </c>
      <c r="B1670" s="3" t="str">
        <f>"00486781"</f>
        <v>00486781</v>
      </c>
    </row>
    <row r="1671" spans="1:2" x14ac:dyDescent="0.25">
      <c r="A1671" s="3">
        <v>1666</v>
      </c>
      <c r="B1671" s="3" t="str">
        <f>"00486892"</f>
        <v>00486892</v>
      </c>
    </row>
    <row r="1672" spans="1:2" x14ac:dyDescent="0.25">
      <c r="A1672" s="3">
        <v>1667</v>
      </c>
      <c r="B1672" s="3" t="str">
        <f>"00487104"</f>
        <v>00487104</v>
      </c>
    </row>
    <row r="1673" spans="1:2" x14ac:dyDescent="0.25">
      <c r="A1673" s="3">
        <v>1668</v>
      </c>
      <c r="B1673" s="3" t="str">
        <f>"00487134"</f>
        <v>00487134</v>
      </c>
    </row>
    <row r="1674" spans="1:2" x14ac:dyDescent="0.25">
      <c r="A1674" s="3">
        <v>1669</v>
      </c>
      <c r="B1674" s="3" t="str">
        <f>"00487412"</f>
        <v>00487412</v>
      </c>
    </row>
    <row r="1675" spans="1:2" x14ac:dyDescent="0.25">
      <c r="A1675" s="3">
        <v>1670</v>
      </c>
      <c r="B1675" s="3" t="str">
        <f>"00487570"</f>
        <v>00487570</v>
      </c>
    </row>
    <row r="1676" spans="1:2" x14ac:dyDescent="0.25">
      <c r="A1676" s="3">
        <v>1671</v>
      </c>
      <c r="B1676" s="3" t="str">
        <f>"00487596"</f>
        <v>00487596</v>
      </c>
    </row>
    <row r="1677" spans="1:2" x14ac:dyDescent="0.25">
      <c r="A1677" s="3">
        <v>1672</v>
      </c>
      <c r="B1677" s="3" t="str">
        <f>"00487632"</f>
        <v>00487632</v>
      </c>
    </row>
    <row r="1678" spans="1:2" x14ac:dyDescent="0.25">
      <c r="A1678" s="3">
        <v>1673</v>
      </c>
      <c r="B1678" s="3" t="str">
        <f>"00487690"</f>
        <v>00487690</v>
      </c>
    </row>
    <row r="1679" spans="1:2" x14ac:dyDescent="0.25">
      <c r="A1679" s="3">
        <v>1674</v>
      </c>
      <c r="B1679" s="3" t="str">
        <f>"00487780"</f>
        <v>00487780</v>
      </c>
    </row>
    <row r="1680" spans="1:2" x14ac:dyDescent="0.25">
      <c r="A1680" s="3">
        <v>1675</v>
      </c>
      <c r="B1680" s="3" t="str">
        <f>"00487805"</f>
        <v>00487805</v>
      </c>
    </row>
    <row r="1681" spans="1:2" x14ac:dyDescent="0.25">
      <c r="A1681" s="3">
        <v>1676</v>
      </c>
      <c r="B1681" s="3" t="str">
        <f>"00487854"</f>
        <v>00487854</v>
      </c>
    </row>
    <row r="1682" spans="1:2" x14ac:dyDescent="0.25">
      <c r="A1682" s="3">
        <v>1677</v>
      </c>
      <c r="B1682" s="3" t="str">
        <f>"00487878"</f>
        <v>00487878</v>
      </c>
    </row>
    <row r="1683" spans="1:2" x14ac:dyDescent="0.25">
      <c r="A1683" s="3">
        <v>1678</v>
      </c>
      <c r="B1683" s="3" t="str">
        <f>"00487979"</f>
        <v>00487979</v>
      </c>
    </row>
    <row r="1684" spans="1:2" x14ac:dyDescent="0.25">
      <c r="A1684" s="3">
        <v>1679</v>
      </c>
      <c r="B1684" s="3" t="str">
        <f>"00488018"</f>
        <v>00488018</v>
      </c>
    </row>
    <row r="1685" spans="1:2" x14ac:dyDescent="0.25">
      <c r="A1685" s="3">
        <v>1680</v>
      </c>
      <c r="B1685" s="3" t="str">
        <f>"00488085"</f>
        <v>00488085</v>
      </c>
    </row>
    <row r="1686" spans="1:2" x14ac:dyDescent="0.25">
      <c r="A1686" s="3">
        <v>1681</v>
      </c>
      <c r="B1686" s="3" t="str">
        <f>"00488104"</f>
        <v>00488104</v>
      </c>
    </row>
    <row r="1687" spans="1:2" x14ac:dyDescent="0.25">
      <c r="A1687" s="3">
        <v>1682</v>
      </c>
      <c r="B1687" s="3" t="str">
        <f>"00488127"</f>
        <v>00488127</v>
      </c>
    </row>
    <row r="1688" spans="1:2" x14ac:dyDescent="0.25">
      <c r="A1688" s="3">
        <v>1683</v>
      </c>
      <c r="B1688" s="3" t="str">
        <f>"00488197"</f>
        <v>00488197</v>
      </c>
    </row>
    <row r="1689" spans="1:2" x14ac:dyDescent="0.25">
      <c r="A1689" s="3">
        <v>1684</v>
      </c>
      <c r="B1689" s="3" t="str">
        <f>"00488405"</f>
        <v>00488405</v>
      </c>
    </row>
    <row r="1690" spans="1:2" x14ac:dyDescent="0.25">
      <c r="A1690" s="3">
        <v>1685</v>
      </c>
      <c r="B1690" s="3" t="str">
        <f>"00488484"</f>
        <v>00488484</v>
      </c>
    </row>
    <row r="1691" spans="1:2" x14ac:dyDescent="0.25">
      <c r="A1691" s="3">
        <v>1686</v>
      </c>
      <c r="B1691" s="3" t="str">
        <f>"00488491"</f>
        <v>00488491</v>
      </c>
    </row>
    <row r="1692" spans="1:2" x14ac:dyDescent="0.25">
      <c r="A1692" s="3">
        <v>1687</v>
      </c>
      <c r="B1692" s="3" t="str">
        <f>"00488696"</f>
        <v>00488696</v>
      </c>
    </row>
    <row r="1693" spans="1:2" x14ac:dyDescent="0.25">
      <c r="A1693" s="3">
        <v>1688</v>
      </c>
      <c r="B1693" s="3" t="str">
        <f>"00488716"</f>
        <v>00488716</v>
      </c>
    </row>
    <row r="1694" spans="1:2" x14ac:dyDescent="0.25">
      <c r="A1694" s="3">
        <v>1689</v>
      </c>
      <c r="B1694" s="3" t="str">
        <f>"00488978"</f>
        <v>00488978</v>
      </c>
    </row>
    <row r="1695" spans="1:2" x14ac:dyDescent="0.25">
      <c r="A1695" s="3">
        <v>1690</v>
      </c>
      <c r="B1695" s="3" t="str">
        <f>"00489120"</f>
        <v>00489120</v>
      </c>
    </row>
    <row r="1696" spans="1:2" x14ac:dyDescent="0.25">
      <c r="A1696" s="3">
        <v>1691</v>
      </c>
      <c r="B1696" s="3" t="str">
        <f>"00489376"</f>
        <v>00489376</v>
      </c>
    </row>
    <row r="1697" spans="1:2" x14ac:dyDescent="0.25">
      <c r="A1697" s="3">
        <v>1692</v>
      </c>
      <c r="B1697" s="3" t="str">
        <f>"00489405"</f>
        <v>00489405</v>
      </c>
    </row>
    <row r="1698" spans="1:2" x14ac:dyDescent="0.25">
      <c r="A1698" s="3">
        <v>1693</v>
      </c>
      <c r="B1698" s="3" t="str">
        <f>"00489408"</f>
        <v>00489408</v>
      </c>
    </row>
    <row r="1699" spans="1:2" x14ac:dyDescent="0.25">
      <c r="A1699" s="3">
        <v>1694</v>
      </c>
      <c r="B1699" s="3" t="str">
        <f>"00489427"</f>
        <v>00489427</v>
      </c>
    </row>
    <row r="1700" spans="1:2" x14ac:dyDescent="0.25">
      <c r="A1700" s="3">
        <v>1695</v>
      </c>
      <c r="B1700" s="3" t="str">
        <f>"00489533"</f>
        <v>00489533</v>
      </c>
    </row>
    <row r="1701" spans="1:2" x14ac:dyDescent="0.25">
      <c r="A1701" s="3">
        <v>1696</v>
      </c>
      <c r="B1701" s="3" t="str">
        <f>"00489658"</f>
        <v>00489658</v>
      </c>
    </row>
    <row r="1702" spans="1:2" x14ac:dyDescent="0.25">
      <c r="A1702" s="3">
        <v>1697</v>
      </c>
      <c r="B1702" s="3" t="str">
        <f>"00489821"</f>
        <v>00489821</v>
      </c>
    </row>
    <row r="1703" spans="1:2" x14ac:dyDescent="0.25">
      <c r="A1703" s="3">
        <v>1698</v>
      </c>
      <c r="B1703" s="3" t="str">
        <f>"00489824"</f>
        <v>00489824</v>
      </c>
    </row>
    <row r="1704" spans="1:2" x14ac:dyDescent="0.25">
      <c r="A1704" s="3">
        <v>1699</v>
      </c>
      <c r="B1704" s="3" t="str">
        <f>"00489922"</f>
        <v>00489922</v>
      </c>
    </row>
    <row r="1705" spans="1:2" x14ac:dyDescent="0.25">
      <c r="A1705" s="3">
        <v>1700</v>
      </c>
      <c r="B1705" s="3" t="str">
        <f>"00490066"</f>
        <v>00490066</v>
      </c>
    </row>
    <row r="1706" spans="1:2" x14ac:dyDescent="0.25">
      <c r="A1706" s="3">
        <v>1701</v>
      </c>
      <c r="B1706" s="3" t="str">
        <f>"00490160"</f>
        <v>00490160</v>
      </c>
    </row>
    <row r="1707" spans="1:2" x14ac:dyDescent="0.25">
      <c r="A1707" s="3">
        <v>1702</v>
      </c>
      <c r="B1707" s="3" t="str">
        <f>"00490248"</f>
        <v>00490248</v>
      </c>
    </row>
    <row r="1708" spans="1:2" x14ac:dyDescent="0.25">
      <c r="A1708" s="3">
        <v>1703</v>
      </c>
      <c r="B1708" s="3" t="str">
        <f>"00490273"</f>
        <v>00490273</v>
      </c>
    </row>
    <row r="1709" spans="1:2" x14ac:dyDescent="0.25">
      <c r="A1709" s="3">
        <v>1704</v>
      </c>
      <c r="B1709" s="3" t="str">
        <f>"00490348"</f>
        <v>00490348</v>
      </c>
    </row>
    <row r="1710" spans="1:2" x14ac:dyDescent="0.25">
      <c r="A1710" s="3">
        <v>1705</v>
      </c>
      <c r="B1710" s="3" t="str">
        <f>"00490475"</f>
        <v>00490475</v>
      </c>
    </row>
    <row r="1711" spans="1:2" x14ac:dyDescent="0.25">
      <c r="A1711" s="3">
        <v>1706</v>
      </c>
      <c r="B1711" s="3" t="str">
        <f>"00490506"</f>
        <v>00490506</v>
      </c>
    </row>
    <row r="1712" spans="1:2" x14ac:dyDescent="0.25">
      <c r="A1712" s="3">
        <v>1707</v>
      </c>
      <c r="B1712" s="3" t="str">
        <f>"00490510"</f>
        <v>00490510</v>
      </c>
    </row>
    <row r="1713" spans="1:2" x14ac:dyDescent="0.25">
      <c r="A1713" s="3">
        <v>1708</v>
      </c>
      <c r="B1713" s="3" t="str">
        <f>"00490565"</f>
        <v>00490565</v>
      </c>
    </row>
    <row r="1714" spans="1:2" x14ac:dyDescent="0.25">
      <c r="A1714" s="3">
        <v>1709</v>
      </c>
      <c r="B1714" s="3" t="str">
        <f>"00490583"</f>
        <v>00490583</v>
      </c>
    </row>
    <row r="1715" spans="1:2" x14ac:dyDescent="0.25">
      <c r="A1715" s="3">
        <v>1710</v>
      </c>
      <c r="B1715" s="3" t="str">
        <f>"00490625"</f>
        <v>00490625</v>
      </c>
    </row>
    <row r="1716" spans="1:2" x14ac:dyDescent="0.25">
      <c r="A1716" s="3">
        <v>1711</v>
      </c>
      <c r="B1716" s="3" t="str">
        <f>"00490632"</f>
        <v>00490632</v>
      </c>
    </row>
    <row r="1717" spans="1:2" x14ac:dyDescent="0.25">
      <c r="A1717" s="3">
        <v>1712</v>
      </c>
      <c r="B1717" s="3" t="str">
        <f>"00490714"</f>
        <v>00490714</v>
      </c>
    </row>
    <row r="1718" spans="1:2" x14ac:dyDescent="0.25">
      <c r="A1718" s="3">
        <v>1713</v>
      </c>
      <c r="B1718" s="3" t="str">
        <f>"00490839"</f>
        <v>00490839</v>
      </c>
    </row>
    <row r="1719" spans="1:2" x14ac:dyDescent="0.25">
      <c r="A1719" s="3">
        <v>1714</v>
      </c>
      <c r="B1719" s="3" t="str">
        <f>"00490944"</f>
        <v>00490944</v>
      </c>
    </row>
    <row r="1720" spans="1:2" x14ac:dyDescent="0.25">
      <c r="A1720" s="3">
        <v>1715</v>
      </c>
      <c r="B1720" s="3" t="str">
        <f>"00490977"</f>
        <v>00490977</v>
      </c>
    </row>
    <row r="1721" spans="1:2" x14ac:dyDescent="0.25">
      <c r="A1721" s="3">
        <v>1716</v>
      </c>
      <c r="B1721" s="3" t="str">
        <f>"00491024"</f>
        <v>00491024</v>
      </c>
    </row>
    <row r="1722" spans="1:2" x14ac:dyDescent="0.25">
      <c r="A1722" s="3">
        <v>1717</v>
      </c>
      <c r="B1722" s="3" t="str">
        <f>"00491090"</f>
        <v>00491090</v>
      </c>
    </row>
    <row r="1723" spans="1:2" x14ac:dyDescent="0.25">
      <c r="A1723" s="3">
        <v>1718</v>
      </c>
      <c r="B1723" s="3" t="str">
        <f>"00491101"</f>
        <v>00491101</v>
      </c>
    </row>
    <row r="1724" spans="1:2" x14ac:dyDescent="0.25">
      <c r="A1724" s="3">
        <v>1719</v>
      </c>
      <c r="B1724" s="3" t="str">
        <f>"00491262"</f>
        <v>00491262</v>
      </c>
    </row>
    <row r="1725" spans="1:2" x14ac:dyDescent="0.25">
      <c r="A1725" s="3">
        <v>1720</v>
      </c>
      <c r="B1725" s="3" t="str">
        <f>"00491317"</f>
        <v>00491317</v>
      </c>
    </row>
    <row r="1726" spans="1:2" x14ac:dyDescent="0.25">
      <c r="A1726" s="3">
        <v>1721</v>
      </c>
      <c r="B1726" s="3" t="str">
        <f>"00491431"</f>
        <v>00491431</v>
      </c>
    </row>
    <row r="1727" spans="1:2" x14ac:dyDescent="0.25">
      <c r="A1727" s="3">
        <v>1722</v>
      </c>
      <c r="B1727" s="3" t="str">
        <f>"00491432"</f>
        <v>00491432</v>
      </c>
    </row>
    <row r="1728" spans="1:2" x14ac:dyDescent="0.25">
      <c r="A1728" s="3">
        <v>1723</v>
      </c>
      <c r="B1728" s="3" t="str">
        <f>"00491752"</f>
        <v>00491752</v>
      </c>
    </row>
    <row r="1729" spans="1:2" x14ac:dyDescent="0.25">
      <c r="A1729" s="3">
        <v>1724</v>
      </c>
      <c r="B1729" s="3" t="str">
        <f>"00492009"</f>
        <v>00492009</v>
      </c>
    </row>
    <row r="1730" spans="1:2" x14ac:dyDescent="0.25">
      <c r="A1730" s="3">
        <v>1725</v>
      </c>
      <c r="B1730" s="3" t="str">
        <f>"00492263"</f>
        <v>00492263</v>
      </c>
    </row>
    <row r="1731" spans="1:2" x14ac:dyDescent="0.25">
      <c r="A1731" s="3">
        <v>1726</v>
      </c>
      <c r="B1731" s="3" t="str">
        <f>"00492650"</f>
        <v>00492650</v>
      </c>
    </row>
    <row r="1732" spans="1:2" x14ac:dyDescent="0.25">
      <c r="A1732" s="3">
        <v>1727</v>
      </c>
      <c r="B1732" s="3" t="str">
        <f>"00492684"</f>
        <v>00492684</v>
      </c>
    </row>
    <row r="1733" spans="1:2" x14ac:dyDescent="0.25">
      <c r="A1733" s="3">
        <v>1728</v>
      </c>
      <c r="B1733" s="3" t="str">
        <f>"00492695"</f>
        <v>00492695</v>
      </c>
    </row>
    <row r="1734" spans="1:2" x14ac:dyDescent="0.25">
      <c r="A1734" s="3">
        <v>1729</v>
      </c>
      <c r="B1734" s="3" t="str">
        <f>"00492777"</f>
        <v>00492777</v>
      </c>
    </row>
    <row r="1735" spans="1:2" x14ac:dyDescent="0.25">
      <c r="A1735" s="3">
        <v>1730</v>
      </c>
      <c r="B1735" s="3" t="str">
        <f>"00492800"</f>
        <v>00492800</v>
      </c>
    </row>
    <row r="1736" spans="1:2" x14ac:dyDescent="0.25">
      <c r="A1736" s="3">
        <v>1731</v>
      </c>
      <c r="B1736" s="3" t="str">
        <f>"00492880"</f>
        <v>00492880</v>
      </c>
    </row>
    <row r="1737" spans="1:2" x14ac:dyDescent="0.25">
      <c r="A1737" s="3">
        <v>1732</v>
      </c>
      <c r="B1737" s="3" t="str">
        <f>"00492957"</f>
        <v>00492957</v>
      </c>
    </row>
    <row r="1738" spans="1:2" x14ac:dyDescent="0.25">
      <c r="A1738" s="3">
        <v>1733</v>
      </c>
      <c r="B1738" s="3" t="str">
        <f>"00493024"</f>
        <v>00493024</v>
      </c>
    </row>
    <row r="1739" spans="1:2" x14ac:dyDescent="0.25">
      <c r="A1739" s="3">
        <v>1734</v>
      </c>
      <c r="B1739" s="3" t="str">
        <f>"00493129"</f>
        <v>00493129</v>
      </c>
    </row>
    <row r="1740" spans="1:2" x14ac:dyDescent="0.25">
      <c r="A1740" s="3">
        <v>1735</v>
      </c>
      <c r="B1740" s="3" t="str">
        <f>"00493281"</f>
        <v>00493281</v>
      </c>
    </row>
    <row r="1741" spans="1:2" x14ac:dyDescent="0.25">
      <c r="A1741" s="3">
        <v>1736</v>
      </c>
      <c r="B1741" s="3" t="str">
        <f>"00493419"</f>
        <v>00493419</v>
      </c>
    </row>
    <row r="1742" spans="1:2" x14ac:dyDescent="0.25">
      <c r="A1742" s="3">
        <v>1737</v>
      </c>
      <c r="B1742" s="3" t="str">
        <f>"00493505"</f>
        <v>00493505</v>
      </c>
    </row>
    <row r="1743" spans="1:2" x14ac:dyDescent="0.25">
      <c r="A1743" s="3">
        <v>1738</v>
      </c>
      <c r="B1743" s="3" t="str">
        <f>"00493667"</f>
        <v>00493667</v>
      </c>
    </row>
    <row r="1744" spans="1:2" x14ac:dyDescent="0.25">
      <c r="A1744" s="3">
        <v>1739</v>
      </c>
      <c r="B1744" s="3" t="str">
        <f>"00493685"</f>
        <v>00493685</v>
      </c>
    </row>
    <row r="1745" spans="1:2" x14ac:dyDescent="0.25">
      <c r="A1745" s="3">
        <v>1740</v>
      </c>
      <c r="B1745" s="3" t="str">
        <f>"00493700"</f>
        <v>00493700</v>
      </c>
    </row>
    <row r="1746" spans="1:2" x14ac:dyDescent="0.25">
      <c r="A1746" s="3">
        <v>1741</v>
      </c>
      <c r="B1746" s="3" t="str">
        <f>"00493768"</f>
        <v>00493768</v>
      </c>
    </row>
    <row r="1747" spans="1:2" x14ac:dyDescent="0.25">
      <c r="A1747" s="3">
        <v>1742</v>
      </c>
      <c r="B1747" s="3" t="str">
        <f>"00493907"</f>
        <v>00493907</v>
      </c>
    </row>
    <row r="1748" spans="1:2" x14ac:dyDescent="0.25">
      <c r="A1748" s="3">
        <v>1743</v>
      </c>
      <c r="B1748" s="3" t="str">
        <f>"00493973"</f>
        <v>00493973</v>
      </c>
    </row>
    <row r="1749" spans="1:2" x14ac:dyDescent="0.25">
      <c r="A1749" s="3">
        <v>1744</v>
      </c>
      <c r="B1749" s="3" t="str">
        <f>"00494012"</f>
        <v>00494012</v>
      </c>
    </row>
    <row r="1750" spans="1:2" x14ac:dyDescent="0.25">
      <c r="A1750" s="3">
        <v>1745</v>
      </c>
      <c r="B1750" s="3" t="str">
        <f>"00494144"</f>
        <v>00494144</v>
      </c>
    </row>
    <row r="1751" spans="1:2" x14ac:dyDescent="0.25">
      <c r="A1751" s="3">
        <v>1746</v>
      </c>
      <c r="B1751" s="3" t="str">
        <f>"00494180"</f>
        <v>00494180</v>
      </c>
    </row>
    <row r="1752" spans="1:2" x14ac:dyDescent="0.25">
      <c r="A1752" s="3">
        <v>1747</v>
      </c>
      <c r="B1752" s="3" t="str">
        <f>"00494230"</f>
        <v>00494230</v>
      </c>
    </row>
    <row r="1753" spans="1:2" x14ac:dyDescent="0.25">
      <c r="A1753" s="3">
        <v>1748</v>
      </c>
      <c r="B1753" s="3" t="str">
        <f>"00494269"</f>
        <v>00494269</v>
      </c>
    </row>
    <row r="1754" spans="1:2" x14ac:dyDescent="0.25">
      <c r="A1754" s="3">
        <v>1749</v>
      </c>
      <c r="B1754" s="3" t="str">
        <f>"00494289"</f>
        <v>00494289</v>
      </c>
    </row>
    <row r="1755" spans="1:2" x14ac:dyDescent="0.25">
      <c r="A1755" s="3">
        <v>1750</v>
      </c>
      <c r="B1755" s="3" t="str">
        <f>"00494369"</f>
        <v>00494369</v>
      </c>
    </row>
    <row r="1756" spans="1:2" x14ac:dyDescent="0.25">
      <c r="A1756" s="3">
        <v>1751</v>
      </c>
      <c r="B1756" s="3" t="str">
        <f>"00494393"</f>
        <v>00494393</v>
      </c>
    </row>
    <row r="1757" spans="1:2" x14ac:dyDescent="0.25">
      <c r="A1757" s="3">
        <v>1752</v>
      </c>
      <c r="B1757" s="3" t="str">
        <f>"00494691"</f>
        <v>00494691</v>
      </c>
    </row>
    <row r="1758" spans="1:2" x14ac:dyDescent="0.25">
      <c r="A1758" s="3">
        <v>1753</v>
      </c>
      <c r="B1758" s="3" t="str">
        <f>"00494728"</f>
        <v>00494728</v>
      </c>
    </row>
    <row r="1759" spans="1:2" x14ac:dyDescent="0.25">
      <c r="A1759" s="3">
        <v>1754</v>
      </c>
      <c r="B1759" s="3" t="str">
        <f>"00494763"</f>
        <v>00494763</v>
      </c>
    </row>
    <row r="1760" spans="1:2" x14ac:dyDescent="0.25">
      <c r="A1760" s="3">
        <v>1755</v>
      </c>
      <c r="B1760" s="3" t="str">
        <f>"00494860"</f>
        <v>00494860</v>
      </c>
    </row>
    <row r="1761" spans="1:2" x14ac:dyDescent="0.25">
      <c r="A1761" s="3">
        <v>1756</v>
      </c>
      <c r="B1761" s="3" t="str">
        <f>"00494866"</f>
        <v>00494866</v>
      </c>
    </row>
    <row r="1762" spans="1:2" x14ac:dyDescent="0.25">
      <c r="A1762" s="3">
        <v>1757</v>
      </c>
      <c r="B1762" s="3" t="str">
        <f>"00494921"</f>
        <v>00494921</v>
      </c>
    </row>
    <row r="1763" spans="1:2" x14ac:dyDescent="0.25">
      <c r="A1763" s="3">
        <v>1758</v>
      </c>
      <c r="B1763" s="3" t="str">
        <f>"00495153"</f>
        <v>00495153</v>
      </c>
    </row>
    <row r="1764" spans="1:2" x14ac:dyDescent="0.25">
      <c r="A1764" s="3">
        <v>1759</v>
      </c>
      <c r="B1764" s="3" t="str">
        <f>"00495164"</f>
        <v>00495164</v>
      </c>
    </row>
    <row r="1765" spans="1:2" x14ac:dyDescent="0.25">
      <c r="A1765" s="3">
        <v>1760</v>
      </c>
      <c r="B1765" s="3" t="str">
        <f>"00495203"</f>
        <v>00495203</v>
      </c>
    </row>
    <row r="1766" spans="1:2" x14ac:dyDescent="0.25">
      <c r="A1766" s="3">
        <v>1761</v>
      </c>
      <c r="B1766" s="3" t="str">
        <f>"00495271"</f>
        <v>00495271</v>
      </c>
    </row>
    <row r="1767" spans="1:2" x14ac:dyDescent="0.25">
      <c r="A1767" s="3">
        <v>1762</v>
      </c>
      <c r="B1767" s="3" t="str">
        <f>"00495443"</f>
        <v>00495443</v>
      </c>
    </row>
    <row r="1768" spans="1:2" x14ac:dyDescent="0.25">
      <c r="A1768" s="3">
        <v>1763</v>
      </c>
      <c r="B1768" s="3" t="str">
        <f>"00495475"</f>
        <v>00495475</v>
      </c>
    </row>
    <row r="1769" spans="1:2" x14ac:dyDescent="0.25">
      <c r="A1769" s="3">
        <v>1764</v>
      </c>
      <c r="B1769" s="3" t="str">
        <f>"00495808"</f>
        <v>00495808</v>
      </c>
    </row>
    <row r="1770" spans="1:2" x14ac:dyDescent="0.25">
      <c r="A1770" s="3">
        <v>1765</v>
      </c>
      <c r="B1770" s="3" t="str">
        <f>"00495824"</f>
        <v>00495824</v>
      </c>
    </row>
    <row r="1771" spans="1:2" x14ac:dyDescent="0.25">
      <c r="A1771" s="3">
        <v>1766</v>
      </c>
      <c r="B1771" s="3" t="str">
        <f>"00496042"</f>
        <v>00496042</v>
      </c>
    </row>
    <row r="1772" spans="1:2" x14ac:dyDescent="0.25">
      <c r="A1772" s="3">
        <v>1767</v>
      </c>
      <c r="B1772" s="3" t="str">
        <f>"00496201"</f>
        <v>00496201</v>
      </c>
    </row>
    <row r="1773" spans="1:2" x14ac:dyDescent="0.25">
      <c r="A1773" s="3">
        <v>1768</v>
      </c>
      <c r="B1773" s="3" t="str">
        <f>"00496244"</f>
        <v>00496244</v>
      </c>
    </row>
    <row r="1774" spans="1:2" x14ac:dyDescent="0.25">
      <c r="A1774" s="3">
        <v>1769</v>
      </c>
      <c r="B1774" s="3" t="str">
        <f>"00496292"</f>
        <v>00496292</v>
      </c>
    </row>
    <row r="1775" spans="1:2" x14ac:dyDescent="0.25">
      <c r="A1775" s="3">
        <v>1770</v>
      </c>
      <c r="B1775" s="3" t="str">
        <f>"00496679"</f>
        <v>00496679</v>
      </c>
    </row>
    <row r="1776" spans="1:2" x14ac:dyDescent="0.25">
      <c r="A1776" s="3">
        <v>1771</v>
      </c>
      <c r="B1776" s="3" t="str">
        <f>"00496729"</f>
        <v>00496729</v>
      </c>
    </row>
    <row r="1777" spans="1:2" x14ac:dyDescent="0.25">
      <c r="A1777" s="3">
        <v>1772</v>
      </c>
      <c r="B1777" s="3" t="str">
        <f>"00496731"</f>
        <v>00496731</v>
      </c>
    </row>
    <row r="1778" spans="1:2" x14ac:dyDescent="0.25">
      <c r="A1778" s="3">
        <v>1773</v>
      </c>
      <c r="B1778" s="3" t="str">
        <f>"00496903"</f>
        <v>00496903</v>
      </c>
    </row>
    <row r="1779" spans="1:2" x14ac:dyDescent="0.25">
      <c r="A1779" s="3">
        <v>1774</v>
      </c>
      <c r="B1779" s="3" t="str">
        <f>"00496930"</f>
        <v>00496930</v>
      </c>
    </row>
    <row r="1780" spans="1:2" x14ac:dyDescent="0.25">
      <c r="A1780" s="3">
        <v>1775</v>
      </c>
      <c r="B1780" s="3" t="str">
        <f>"00496931"</f>
        <v>00496931</v>
      </c>
    </row>
    <row r="1781" spans="1:2" x14ac:dyDescent="0.25">
      <c r="A1781" s="3">
        <v>1776</v>
      </c>
      <c r="B1781" s="3" t="str">
        <f>"00496960"</f>
        <v>00496960</v>
      </c>
    </row>
    <row r="1782" spans="1:2" x14ac:dyDescent="0.25">
      <c r="A1782" s="3">
        <v>1777</v>
      </c>
      <c r="B1782" s="3" t="str">
        <f>"00496986"</f>
        <v>00496986</v>
      </c>
    </row>
    <row r="1783" spans="1:2" x14ac:dyDescent="0.25">
      <c r="A1783" s="3">
        <v>1778</v>
      </c>
      <c r="B1783" s="3" t="str">
        <f>"00497083"</f>
        <v>00497083</v>
      </c>
    </row>
    <row r="1784" spans="1:2" x14ac:dyDescent="0.25">
      <c r="A1784" s="3">
        <v>1779</v>
      </c>
      <c r="B1784" s="3" t="str">
        <f>"00497085"</f>
        <v>00497085</v>
      </c>
    </row>
    <row r="1785" spans="1:2" x14ac:dyDescent="0.25">
      <c r="A1785" s="3">
        <v>1780</v>
      </c>
      <c r="B1785" s="3" t="str">
        <f>"00497222"</f>
        <v>00497222</v>
      </c>
    </row>
    <row r="1786" spans="1:2" x14ac:dyDescent="0.25">
      <c r="A1786" s="3">
        <v>1781</v>
      </c>
      <c r="B1786" s="3" t="str">
        <f>"00497265"</f>
        <v>00497265</v>
      </c>
    </row>
    <row r="1787" spans="1:2" x14ac:dyDescent="0.25">
      <c r="A1787" s="3">
        <v>1782</v>
      </c>
      <c r="B1787" s="3" t="str">
        <f>"00497275"</f>
        <v>00497275</v>
      </c>
    </row>
    <row r="1788" spans="1:2" x14ac:dyDescent="0.25">
      <c r="A1788" s="3">
        <v>1783</v>
      </c>
      <c r="B1788" s="3" t="str">
        <f>"00497296"</f>
        <v>00497296</v>
      </c>
    </row>
    <row r="1789" spans="1:2" x14ac:dyDescent="0.25">
      <c r="A1789" s="3">
        <v>1784</v>
      </c>
      <c r="B1789" s="3" t="str">
        <f>"00497320"</f>
        <v>00497320</v>
      </c>
    </row>
    <row r="1790" spans="1:2" x14ac:dyDescent="0.25">
      <c r="A1790" s="3">
        <v>1785</v>
      </c>
      <c r="B1790" s="3" t="str">
        <f>"00497365"</f>
        <v>00497365</v>
      </c>
    </row>
    <row r="1791" spans="1:2" x14ac:dyDescent="0.25">
      <c r="A1791" s="3">
        <v>1786</v>
      </c>
      <c r="B1791" s="3" t="str">
        <f>"00497443"</f>
        <v>00497443</v>
      </c>
    </row>
    <row r="1792" spans="1:2" x14ac:dyDescent="0.25">
      <c r="A1792" s="3">
        <v>1787</v>
      </c>
      <c r="B1792" s="3" t="str">
        <f>"00497445"</f>
        <v>00497445</v>
      </c>
    </row>
    <row r="1793" spans="1:2" x14ac:dyDescent="0.25">
      <c r="A1793" s="3">
        <v>1788</v>
      </c>
      <c r="B1793" s="3" t="str">
        <f>"00497561"</f>
        <v>00497561</v>
      </c>
    </row>
    <row r="1794" spans="1:2" x14ac:dyDescent="0.25">
      <c r="A1794" s="3">
        <v>1789</v>
      </c>
      <c r="B1794" s="3" t="str">
        <f>"00497590"</f>
        <v>00497590</v>
      </c>
    </row>
    <row r="1795" spans="1:2" x14ac:dyDescent="0.25">
      <c r="A1795" s="3">
        <v>1790</v>
      </c>
      <c r="B1795" s="3" t="str">
        <f>"00497663"</f>
        <v>00497663</v>
      </c>
    </row>
    <row r="1796" spans="1:2" x14ac:dyDescent="0.25">
      <c r="A1796" s="3">
        <v>1791</v>
      </c>
      <c r="B1796" s="3" t="str">
        <f>"00497694"</f>
        <v>00497694</v>
      </c>
    </row>
    <row r="1797" spans="1:2" x14ac:dyDescent="0.25">
      <c r="A1797" s="3">
        <v>1792</v>
      </c>
      <c r="B1797" s="3" t="str">
        <f>"00497707"</f>
        <v>00497707</v>
      </c>
    </row>
    <row r="1798" spans="1:2" x14ac:dyDescent="0.25">
      <c r="A1798" s="3">
        <v>1793</v>
      </c>
      <c r="B1798" s="3" t="str">
        <f>"00497742"</f>
        <v>00497742</v>
      </c>
    </row>
    <row r="1799" spans="1:2" x14ac:dyDescent="0.25">
      <c r="A1799" s="3">
        <v>1794</v>
      </c>
      <c r="B1799" s="3" t="str">
        <f>"00497815"</f>
        <v>00497815</v>
      </c>
    </row>
    <row r="1800" spans="1:2" x14ac:dyDescent="0.25">
      <c r="A1800" s="3">
        <v>1795</v>
      </c>
      <c r="B1800" s="3" t="str">
        <f>"00498003"</f>
        <v>00498003</v>
      </c>
    </row>
    <row r="1801" spans="1:2" x14ac:dyDescent="0.25">
      <c r="A1801" s="3">
        <v>1796</v>
      </c>
      <c r="B1801" s="3" t="str">
        <f>"00498014"</f>
        <v>00498014</v>
      </c>
    </row>
    <row r="1802" spans="1:2" x14ac:dyDescent="0.25">
      <c r="A1802" s="3">
        <v>1797</v>
      </c>
      <c r="B1802" s="3" t="str">
        <f>"00498184"</f>
        <v>00498184</v>
      </c>
    </row>
    <row r="1803" spans="1:2" x14ac:dyDescent="0.25">
      <c r="A1803" s="3">
        <v>1798</v>
      </c>
      <c r="B1803" s="3" t="str">
        <f>"00498221"</f>
        <v>00498221</v>
      </c>
    </row>
    <row r="1804" spans="1:2" x14ac:dyDescent="0.25">
      <c r="A1804" s="3">
        <v>1799</v>
      </c>
      <c r="B1804" s="3" t="str">
        <f>"00498307"</f>
        <v>00498307</v>
      </c>
    </row>
    <row r="1805" spans="1:2" x14ac:dyDescent="0.25">
      <c r="A1805" s="3">
        <v>1800</v>
      </c>
      <c r="B1805" s="3" t="str">
        <f>"00498354"</f>
        <v>00498354</v>
      </c>
    </row>
    <row r="1806" spans="1:2" x14ac:dyDescent="0.25">
      <c r="A1806" s="3">
        <v>1801</v>
      </c>
      <c r="B1806" s="3" t="str">
        <f>"00498406"</f>
        <v>00498406</v>
      </c>
    </row>
    <row r="1807" spans="1:2" x14ac:dyDescent="0.25">
      <c r="A1807" s="3">
        <v>1802</v>
      </c>
      <c r="B1807" s="3" t="str">
        <f>"00498612"</f>
        <v>00498612</v>
      </c>
    </row>
    <row r="1808" spans="1:2" x14ac:dyDescent="0.25">
      <c r="A1808" s="3">
        <v>1803</v>
      </c>
      <c r="B1808" s="3" t="str">
        <f>"00498626"</f>
        <v>00498626</v>
      </c>
    </row>
    <row r="1809" spans="1:2" x14ac:dyDescent="0.25">
      <c r="A1809" s="3">
        <v>1804</v>
      </c>
      <c r="B1809" s="3" t="str">
        <f>"00498638"</f>
        <v>00498638</v>
      </c>
    </row>
    <row r="1810" spans="1:2" x14ac:dyDescent="0.25">
      <c r="A1810" s="3">
        <v>1805</v>
      </c>
      <c r="B1810" s="3" t="str">
        <f>"00498645"</f>
        <v>00498645</v>
      </c>
    </row>
    <row r="1811" spans="1:2" x14ac:dyDescent="0.25">
      <c r="A1811" s="3">
        <v>1806</v>
      </c>
      <c r="B1811" s="3" t="str">
        <f>"00498890"</f>
        <v>00498890</v>
      </c>
    </row>
    <row r="1812" spans="1:2" x14ac:dyDescent="0.25">
      <c r="A1812" s="3">
        <v>1807</v>
      </c>
      <c r="B1812" s="3" t="str">
        <f>"00499035"</f>
        <v>00499035</v>
      </c>
    </row>
    <row r="1813" spans="1:2" x14ac:dyDescent="0.25">
      <c r="A1813" s="3">
        <v>1808</v>
      </c>
      <c r="B1813" s="3" t="str">
        <f>"00499056"</f>
        <v>00499056</v>
      </c>
    </row>
    <row r="1814" spans="1:2" x14ac:dyDescent="0.25">
      <c r="A1814" s="3">
        <v>1809</v>
      </c>
      <c r="B1814" s="3" t="str">
        <f>"00499093"</f>
        <v>00499093</v>
      </c>
    </row>
    <row r="1815" spans="1:2" x14ac:dyDescent="0.25">
      <c r="A1815" s="3">
        <v>1810</v>
      </c>
      <c r="B1815" s="3" t="str">
        <f>"00499156"</f>
        <v>00499156</v>
      </c>
    </row>
    <row r="1816" spans="1:2" x14ac:dyDescent="0.25">
      <c r="A1816" s="3">
        <v>1811</v>
      </c>
      <c r="B1816" s="3" t="str">
        <f>"00499213"</f>
        <v>00499213</v>
      </c>
    </row>
    <row r="1817" spans="1:2" x14ac:dyDescent="0.25">
      <c r="A1817" s="3">
        <v>1812</v>
      </c>
      <c r="B1817" s="3" t="str">
        <f>"00499331"</f>
        <v>00499331</v>
      </c>
    </row>
    <row r="1818" spans="1:2" x14ac:dyDescent="0.25">
      <c r="A1818" s="3">
        <v>1813</v>
      </c>
      <c r="B1818" s="3" t="str">
        <f>"00499333"</f>
        <v>00499333</v>
      </c>
    </row>
    <row r="1819" spans="1:2" x14ac:dyDescent="0.25">
      <c r="A1819" s="3">
        <v>1814</v>
      </c>
      <c r="B1819" s="3" t="str">
        <f>"00499367"</f>
        <v>00499367</v>
      </c>
    </row>
    <row r="1820" spans="1:2" x14ac:dyDescent="0.25">
      <c r="A1820" s="3">
        <v>1815</v>
      </c>
      <c r="B1820" s="3" t="str">
        <f>"00499429"</f>
        <v>00499429</v>
      </c>
    </row>
    <row r="1821" spans="1:2" x14ac:dyDescent="0.25">
      <c r="A1821" s="3">
        <v>1816</v>
      </c>
      <c r="B1821" s="3" t="str">
        <f>"00499444"</f>
        <v>00499444</v>
      </c>
    </row>
    <row r="1822" spans="1:2" x14ac:dyDescent="0.25">
      <c r="A1822" s="3">
        <v>1817</v>
      </c>
      <c r="B1822" s="3" t="str">
        <f>"00499470"</f>
        <v>00499470</v>
      </c>
    </row>
    <row r="1823" spans="1:2" x14ac:dyDescent="0.25">
      <c r="A1823" s="3">
        <v>1818</v>
      </c>
      <c r="B1823" s="3" t="str">
        <f>"00499481"</f>
        <v>00499481</v>
      </c>
    </row>
    <row r="1824" spans="1:2" x14ac:dyDescent="0.25">
      <c r="A1824" s="3">
        <v>1819</v>
      </c>
      <c r="B1824" s="3" t="str">
        <f>"00499492"</f>
        <v>00499492</v>
      </c>
    </row>
    <row r="1825" spans="1:2" x14ac:dyDescent="0.25">
      <c r="A1825" s="3">
        <v>1820</v>
      </c>
      <c r="B1825" s="3" t="str">
        <f>"00499503"</f>
        <v>00499503</v>
      </c>
    </row>
    <row r="1826" spans="1:2" x14ac:dyDescent="0.25">
      <c r="A1826" s="3">
        <v>1821</v>
      </c>
      <c r="B1826" s="3" t="str">
        <f>"00499785"</f>
        <v>00499785</v>
      </c>
    </row>
    <row r="1827" spans="1:2" x14ac:dyDescent="0.25">
      <c r="A1827" s="3">
        <v>1822</v>
      </c>
      <c r="B1827" s="3" t="str">
        <f>"00499830"</f>
        <v>00499830</v>
      </c>
    </row>
    <row r="1828" spans="1:2" x14ac:dyDescent="0.25">
      <c r="A1828" s="3">
        <v>1823</v>
      </c>
      <c r="B1828" s="3" t="str">
        <f>"00499856"</f>
        <v>00499856</v>
      </c>
    </row>
    <row r="1829" spans="1:2" x14ac:dyDescent="0.25">
      <c r="A1829" s="3">
        <v>1824</v>
      </c>
      <c r="B1829" s="3" t="str">
        <f>"00499904"</f>
        <v>00499904</v>
      </c>
    </row>
    <row r="1830" spans="1:2" x14ac:dyDescent="0.25">
      <c r="A1830" s="3">
        <v>1825</v>
      </c>
      <c r="B1830" s="3" t="str">
        <f>"00499936"</f>
        <v>00499936</v>
      </c>
    </row>
    <row r="1831" spans="1:2" x14ac:dyDescent="0.25">
      <c r="A1831" s="3">
        <v>1826</v>
      </c>
      <c r="B1831" s="3" t="str">
        <f>"00499975"</f>
        <v>00499975</v>
      </c>
    </row>
    <row r="1832" spans="1:2" x14ac:dyDescent="0.25">
      <c r="A1832" s="3">
        <v>1827</v>
      </c>
      <c r="B1832" s="3" t="str">
        <f>"00500086"</f>
        <v>00500086</v>
      </c>
    </row>
    <row r="1833" spans="1:2" x14ac:dyDescent="0.25">
      <c r="A1833" s="3">
        <v>1828</v>
      </c>
      <c r="B1833" s="3" t="str">
        <f>"00500104"</f>
        <v>00500104</v>
      </c>
    </row>
    <row r="1834" spans="1:2" x14ac:dyDescent="0.25">
      <c r="A1834" s="3">
        <v>1829</v>
      </c>
      <c r="B1834" s="3" t="str">
        <f>"00500116"</f>
        <v>00500116</v>
      </c>
    </row>
    <row r="1835" spans="1:2" x14ac:dyDescent="0.25">
      <c r="A1835" s="3">
        <v>1830</v>
      </c>
      <c r="B1835" s="3" t="str">
        <f>"00500155"</f>
        <v>00500155</v>
      </c>
    </row>
    <row r="1836" spans="1:2" x14ac:dyDescent="0.25">
      <c r="A1836" s="3">
        <v>1831</v>
      </c>
      <c r="B1836" s="3" t="str">
        <f>"00500169"</f>
        <v>00500169</v>
      </c>
    </row>
    <row r="1837" spans="1:2" x14ac:dyDescent="0.25">
      <c r="A1837" s="3">
        <v>1832</v>
      </c>
      <c r="B1837" s="3" t="str">
        <f>"00500172"</f>
        <v>00500172</v>
      </c>
    </row>
    <row r="1838" spans="1:2" x14ac:dyDescent="0.25">
      <c r="A1838" s="3">
        <v>1833</v>
      </c>
      <c r="B1838" s="3" t="str">
        <f>"00500217"</f>
        <v>00500217</v>
      </c>
    </row>
    <row r="1839" spans="1:2" x14ac:dyDescent="0.25">
      <c r="A1839" s="3">
        <v>1834</v>
      </c>
      <c r="B1839" s="3" t="str">
        <f>"00500271"</f>
        <v>00500271</v>
      </c>
    </row>
    <row r="1840" spans="1:2" x14ac:dyDescent="0.25">
      <c r="A1840" s="3">
        <v>1835</v>
      </c>
      <c r="B1840" s="3" t="str">
        <f>"00500431"</f>
        <v>00500431</v>
      </c>
    </row>
    <row r="1841" spans="1:2" x14ac:dyDescent="0.25">
      <c r="A1841" s="3">
        <v>1836</v>
      </c>
      <c r="B1841" s="3" t="str">
        <f>"00500435"</f>
        <v>00500435</v>
      </c>
    </row>
    <row r="1842" spans="1:2" x14ac:dyDescent="0.25">
      <c r="A1842" s="3">
        <v>1837</v>
      </c>
      <c r="B1842" s="3" t="str">
        <f>"00500461"</f>
        <v>00500461</v>
      </c>
    </row>
    <row r="1843" spans="1:2" x14ac:dyDescent="0.25">
      <c r="A1843" s="3">
        <v>1838</v>
      </c>
      <c r="B1843" s="3" t="str">
        <f>"00500479"</f>
        <v>00500479</v>
      </c>
    </row>
    <row r="1844" spans="1:2" x14ac:dyDescent="0.25">
      <c r="A1844" s="3">
        <v>1839</v>
      </c>
      <c r="B1844" s="3" t="str">
        <f>"00500534"</f>
        <v>00500534</v>
      </c>
    </row>
    <row r="1845" spans="1:2" x14ac:dyDescent="0.25">
      <c r="A1845" s="3">
        <v>1840</v>
      </c>
      <c r="B1845" s="3" t="str">
        <f>"00500673"</f>
        <v>00500673</v>
      </c>
    </row>
    <row r="1846" spans="1:2" x14ac:dyDescent="0.25">
      <c r="A1846" s="3">
        <v>1841</v>
      </c>
      <c r="B1846" s="3" t="str">
        <f>"00501065"</f>
        <v>00501065</v>
      </c>
    </row>
    <row r="1847" spans="1:2" x14ac:dyDescent="0.25">
      <c r="A1847" s="3">
        <v>1842</v>
      </c>
      <c r="B1847" s="3" t="str">
        <f>"00501077"</f>
        <v>00501077</v>
      </c>
    </row>
    <row r="1848" spans="1:2" x14ac:dyDescent="0.25">
      <c r="A1848" s="3">
        <v>1843</v>
      </c>
      <c r="B1848" s="3" t="str">
        <f>"00501078"</f>
        <v>00501078</v>
      </c>
    </row>
    <row r="1849" spans="1:2" x14ac:dyDescent="0.25">
      <c r="A1849" s="3">
        <v>1844</v>
      </c>
      <c r="B1849" s="3" t="str">
        <f>"00501131"</f>
        <v>00501131</v>
      </c>
    </row>
    <row r="1850" spans="1:2" x14ac:dyDescent="0.25">
      <c r="A1850" s="3">
        <v>1845</v>
      </c>
      <c r="B1850" s="3" t="str">
        <f>"00501226"</f>
        <v>00501226</v>
      </c>
    </row>
    <row r="1851" spans="1:2" x14ac:dyDescent="0.25">
      <c r="A1851" s="3">
        <v>1846</v>
      </c>
      <c r="B1851" s="3" t="str">
        <f>"00501262"</f>
        <v>00501262</v>
      </c>
    </row>
    <row r="1852" spans="1:2" x14ac:dyDescent="0.25">
      <c r="A1852" s="3">
        <v>1847</v>
      </c>
      <c r="B1852" s="3" t="str">
        <f>"00501295"</f>
        <v>00501295</v>
      </c>
    </row>
    <row r="1853" spans="1:2" x14ac:dyDescent="0.25">
      <c r="A1853" s="3">
        <v>1848</v>
      </c>
      <c r="B1853" s="3" t="str">
        <f>"00501314"</f>
        <v>00501314</v>
      </c>
    </row>
    <row r="1854" spans="1:2" x14ac:dyDescent="0.25">
      <c r="A1854" s="3">
        <v>1849</v>
      </c>
      <c r="B1854" s="3" t="str">
        <f>"00501352"</f>
        <v>00501352</v>
      </c>
    </row>
    <row r="1855" spans="1:2" x14ac:dyDescent="0.25">
      <c r="A1855" s="3">
        <v>1850</v>
      </c>
      <c r="B1855" s="3" t="str">
        <f>"00501391"</f>
        <v>00501391</v>
      </c>
    </row>
    <row r="1856" spans="1:2" x14ac:dyDescent="0.25">
      <c r="A1856" s="3">
        <v>1851</v>
      </c>
      <c r="B1856" s="3" t="str">
        <f>"00501461"</f>
        <v>00501461</v>
      </c>
    </row>
    <row r="1857" spans="1:2" x14ac:dyDescent="0.25">
      <c r="A1857" s="3">
        <v>1852</v>
      </c>
      <c r="B1857" s="3" t="str">
        <f>"00501472"</f>
        <v>00501472</v>
      </c>
    </row>
    <row r="1858" spans="1:2" x14ac:dyDescent="0.25">
      <c r="A1858" s="3">
        <v>1853</v>
      </c>
      <c r="B1858" s="3" t="str">
        <f>"00501520"</f>
        <v>00501520</v>
      </c>
    </row>
    <row r="1859" spans="1:2" x14ac:dyDescent="0.25">
      <c r="A1859" s="3">
        <v>1854</v>
      </c>
      <c r="B1859" s="3" t="str">
        <f>"00501553"</f>
        <v>00501553</v>
      </c>
    </row>
    <row r="1860" spans="1:2" x14ac:dyDescent="0.25">
      <c r="A1860" s="3">
        <v>1855</v>
      </c>
      <c r="B1860" s="3" t="str">
        <f>"00501568"</f>
        <v>00501568</v>
      </c>
    </row>
    <row r="1861" spans="1:2" x14ac:dyDescent="0.25">
      <c r="A1861" s="3">
        <v>1856</v>
      </c>
      <c r="B1861" s="3" t="str">
        <f>"00501588"</f>
        <v>00501588</v>
      </c>
    </row>
    <row r="1862" spans="1:2" x14ac:dyDescent="0.25">
      <c r="A1862" s="3">
        <v>1857</v>
      </c>
      <c r="B1862" s="3" t="str">
        <f>"00501828"</f>
        <v>00501828</v>
      </c>
    </row>
    <row r="1863" spans="1:2" x14ac:dyDescent="0.25">
      <c r="A1863" s="3">
        <v>1858</v>
      </c>
      <c r="B1863" s="3" t="str">
        <f>"00501846"</f>
        <v>00501846</v>
      </c>
    </row>
    <row r="1864" spans="1:2" x14ac:dyDescent="0.25">
      <c r="A1864" s="3">
        <v>1859</v>
      </c>
      <c r="B1864" s="3" t="str">
        <f>"00501893"</f>
        <v>00501893</v>
      </c>
    </row>
    <row r="1865" spans="1:2" x14ac:dyDescent="0.25">
      <c r="A1865" s="3">
        <v>1860</v>
      </c>
      <c r="B1865" s="3" t="str">
        <f>"00501998"</f>
        <v>00501998</v>
      </c>
    </row>
    <row r="1866" spans="1:2" x14ac:dyDescent="0.25">
      <c r="A1866" s="3">
        <v>1861</v>
      </c>
      <c r="B1866" s="3" t="str">
        <f>"00502176"</f>
        <v>00502176</v>
      </c>
    </row>
    <row r="1867" spans="1:2" x14ac:dyDescent="0.25">
      <c r="A1867" s="3">
        <v>1862</v>
      </c>
      <c r="B1867" s="3" t="str">
        <f>"00502215"</f>
        <v>00502215</v>
      </c>
    </row>
    <row r="1868" spans="1:2" x14ac:dyDescent="0.25">
      <c r="A1868" s="3">
        <v>1863</v>
      </c>
      <c r="B1868" s="3" t="str">
        <f>"00502222"</f>
        <v>00502222</v>
      </c>
    </row>
    <row r="1869" spans="1:2" x14ac:dyDescent="0.25">
      <c r="A1869" s="3">
        <v>1864</v>
      </c>
      <c r="B1869" s="3" t="str">
        <f>"00502333"</f>
        <v>00502333</v>
      </c>
    </row>
    <row r="1870" spans="1:2" x14ac:dyDescent="0.25">
      <c r="A1870" s="3">
        <v>1865</v>
      </c>
      <c r="B1870" s="3" t="str">
        <f>"00502373"</f>
        <v>00502373</v>
      </c>
    </row>
    <row r="1871" spans="1:2" x14ac:dyDescent="0.25">
      <c r="A1871" s="3">
        <v>1866</v>
      </c>
      <c r="B1871" s="3" t="str">
        <f>"00502446"</f>
        <v>00502446</v>
      </c>
    </row>
    <row r="1872" spans="1:2" x14ac:dyDescent="0.25">
      <c r="A1872" s="3">
        <v>1867</v>
      </c>
      <c r="B1872" s="3" t="str">
        <f>"00502560"</f>
        <v>00502560</v>
      </c>
    </row>
    <row r="1873" spans="1:2" x14ac:dyDescent="0.25">
      <c r="A1873" s="3">
        <v>1868</v>
      </c>
      <c r="B1873" s="3" t="str">
        <f>"00502574"</f>
        <v>00502574</v>
      </c>
    </row>
    <row r="1874" spans="1:2" x14ac:dyDescent="0.25">
      <c r="A1874" s="3">
        <v>1869</v>
      </c>
      <c r="B1874" s="3" t="str">
        <f>"00502581"</f>
        <v>00502581</v>
      </c>
    </row>
    <row r="1875" spans="1:2" x14ac:dyDescent="0.25">
      <c r="A1875" s="3">
        <v>1870</v>
      </c>
      <c r="B1875" s="3" t="str">
        <f>"00502601"</f>
        <v>00502601</v>
      </c>
    </row>
    <row r="1876" spans="1:2" x14ac:dyDescent="0.25">
      <c r="A1876" s="3">
        <v>1871</v>
      </c>
      <c r="B1876" s="3" t="str">
        <f>"00502762"</f>
        <v>00502762</v>
      </c>
    </row>
    <row r="1877" spans="1:2" x14ac:dyDescent="0.25">
      <c r="A1877" s="3">
        <v>1872</v>
      </c>
      <c r="B1877" s="3" t="str">
        <f>"00502880"</f>
        <v>00502880</v>
      </c>
    </row>
    <row r="1878" spans="1:2" x14ac:dyDescent="0.25">
      <c r="A1878" s="3">
        <v>1873</v>
      </c>
      <c r="B1878" s="3" t="str">
        <f>"00503030"</f>
        <v>00503030</v>
      </c>
    </row>
    <row r="1879" spans="1:2" x14ac:dyDescent="0.25">
      <c r="A1879" s="3">
        <v>1874</v>
      </c>
      <c r="B1879" s="3" t="str">
        <f>"00503087"</f>
        <v>00503087</v>
      </c>
    </row>
    <row r="1880" spans="1:2" x14ac:dyDescent="0.25">
      <c r="A1880" s="3">
        <v>1875</v>
      </c>
      <c r="B1880" s="3" t="str">
        <f>"00503113"</f>
        <v>00503113</v>
      </c>
    </row>
    <row r="1881" spans="1:2" x14ac:dyDescent="0.25">
      <c r="A1881" s="3">
        <v>1876</v>
      </c>
      <c r="B1881" s="3" t="str">
        <f>"00503126"</f>
        <v>00503126</v>
      </c>
    </row>
    <row r="1882" spans="1:2" x14ac:dyDescent="0.25">
      <c r="A1882" s="3">
        <v>1877</v>
      </c>
      <c r="B1882" s="3" t="str">
        <f>"00503314"</f>
        <v>00503314</v>
      </c>
    </row>
    <row r="1883" spans="1:2" x14ac:dyDescent="0.25">
      <c r="A1883" s="3">
        <v>1878</v>
      </c>
      <c r="B1883" s="3" t="str">
        <f>"00503423"</f>
        <v>00503423</v>
      </c>
    </row>
    <row r="1884" spans="1:2" x14ac:dyDescent="0.25">
      <c r="A1884" s="3">
        <v>1879</v>
      </c>
      <c r="B1884" s="3" t="str">
        <f>"00503642"</f>
        <v>00503642</v>
      </c>
    </row>
    <row r="1885" spans="1:2" x14ac:dyDescent="0.25">
      <c r="A1885" s="3">
        <v>1880</v>
      </c>
      <c r="B1885" s="3" t="str">
        <f>"00503659"</f>
        <v>00503659</v>
      </c>
    </row>
    <row r="1886" spans="1:2" x14ac:dyDescent="0.25">
      <c r="A1886" s="3">
        <v>1881</v>
      </c>
      <c r="B1886" s="3" t="str">
        <f>"00503731"</f>
        <v>00503731</v>
      </c>
    </row>
    <row r="1887" spans="1:2" x14ac:dyDescent="0.25">
      <c r="A1887" s="3">
        <v>1882</v>
      </c>
      <c r="B1887" s="3" t="str">
        <f>"00503891"</f>
        <v>00503891</v>
      </c>
    </row>
    <row r="1888" spans="1:2" x14ac:dyDescent="0.25">
      <c r="A1888" s="3">
        <v>1883</v>
      </c>
      <c r="B1888" s="3" t="str">
        <f>"00503914"</f>
        <v>00503914</v>
      </c>
    </row>
    <row r="1889" spans="1:2" x14ac:dyDescent="0.25">
      <c r="A1889" s="3">
        <v>1884</v>
      </c>
      <c r="B1889" s="3" t="str">
        <f>"00503922"</f>
        <v>00503922</v>
      </c>
    </row>
    <row r="1890" spans="1:2" x14ac:dyDescent="0.25">
      <c r="A1890" s="3">
        <v>1885</v>
      </c>
      <c r="B1890" s="3" t="str">
        <f>"00504081"</f>
        <v>00504081</v>
      </c>
    </row>
    <row r="1891" spans="1:2" x14ac:dyDescent="0.25">
      <c r="A1891" s="3">
        <v>1886</v>
      </c>
      <c r="B1891" s="3" t="str">
        <f>"00504461"</f>
        <v>00504461</v>
      </c>
    </row>
    <row r="1892" spans="1:2" x14ac:dyDescent="0.25">
      <c r="A1892" s="3">
        <v>1887</v>
      </c>
      <c r="B1892" s="3" t="str">
        <f>"00504488"</f>
        <v>00504488</v>
      </c>
    </row>
    <row r="1893" spans="1:2" x14ac:dyDescent="0.25">
      <c r="A1893" s="3">
        <v>1888</v>
      </c>
      <c r="B1893" s="3" t="str">
        <f>"00504847"</f>
        <v>00504847</v>
      </c>
    </row>
    <row r="1894" spans="1:2" x14ac:dyDescent="0.25">
      <c r="A1894" s="3">
        <v>1889</v>
      </c>
      <c r="B1894" s="3" t="str">
        <f>"00504867"</f>
        <v>00504867</v>
      </c>
    </row>
    <row r="1895" spans="1:2" x14ac:dyDescent="0.25">
      <c r="A1895" s="3">
        <v>1890</v>
      </c>
      <c r="B1895" s="3" t="str">
        <f>"00504980"</f>
        <v>00504980</v>
      </c>
    </row>
    <row r="1896" spans="1:2" x14ac:dyDescent="0.25">
      <c r="A1896" s="3">
        <v>1891</v>
      </c>
      <c r="B1896" s="3" t="str">
        <f>"00504999"</f>
        <v>00504999</v>
      </c>
    </row>
    <row r="1897" spans="1:2" x14ac:dyDescent="0.25">
      <c r="A1897" s="3">
        <v>1892</v>
      </c>
      <c r="B1897" s="3" t="str">
        <f>"00505013"</f>
        <v>00505013</v>
      </c>
    </row>
    <row r="1898" spans="1:2" x14ac:dyDescent="0.25">
      <c r="A1898" s="3">
        <v>1893</v>
      </c>
      <c r="B1898" s="3" t="str">
        <f>"00505169"</f>
        <v>00505169</v>
      </c>
    </row>
    <row r="1899" spans="1:2" x14ac:dyDescent="0.25">
      <c r="A1899" s="3">
        <v>1894</v>
      </c>
      <c r="B1899" s="3" t="str">
        <f>"00505374"</f>
        <v>00505374</v>
      </c>
    </row>
    <row r="1900" spans="1:2" x14ac:dyDescent="0.25">
      <c r="A1900" s="3">
        <v>1895</v>
      </c>
      <c r="B1900" s="3" t="str">
        <f>"00505449"</f>
        <v>00505449</v>
      </c>
    </row>
    <row r="1901" spans="1:2" x14ac:dyDescent="0.25">
      <c r="A1901" s="3">
        <v>1896</v>
      </c>
      <c r="B1901" s="3" t="str">
        <f>"00505585"</f>
        <v>00505585</v>
      </c>
    </row>
    <row r="1902" spans="1:2" x14ac:dyDescent="0.25">
      <c r="A1902" s="3">
        <v>1897</v>
      </c>
      <c r="B1902" s="3" t="str">
        <f>"00505623"</f>
        <v>00505623</v>
      </c>
    </row>
    <row r="1903" spans="1:2" x14ac:dyDescent="0.25">
      <c r="A1903" s="3">
        <v>1898</v>
      </c>
      <c r="B1903" s="3" t="str">
        <f>"00505718"</f>
        <v>00505718</v>
      </c>
    </row>
    <row r="1904" spans="1:2" x14ac:dyDescent="0.25">
      <c r="A1904" s="3">
        <v>1899</v>
      </c>
      <c r="B1904" s="3" t="str">
        <f>"00505803"</f>
        <v>00505803</v>
      </c>
    </row>
    <row r="1905" spans="1:2" x14ac:dyDescent="0.25">
      <c r="A1905" s="3">
        <v>1900</v>
      </c>
      <c r="B1905" s="3" t="str">
        <f>"00505808"</f>
        <v>00505808</v>
      </c>
    </row>
    <row r="1906" spans="1:2" x14ac:dyDescent="0.25">
      <c r="A1906" s="3">
        <v>1901</v>
      </c>
      <c r="B1906" s="3" t="str">
        <f>"00505853"</f>
        <v>00505853</v>
      </c>
    </row>
    <row r="1907" spans="1:2" x14ac:dyDescent="0.25">
      <c r="A1907" s="3">
        <v>1902</v>
      </c>
      <c r="B1907" s="3" t="str">
        <f>"00505871"</f>
        <v>00505871</v>
      </c>
    </row>
    <row r="1908" spans="1:2" x14ac:dyDescent="0.25">
      <c r="A1908" s="3">
        <v>1903</v>
      </c>
      <c r="B1908" s="3" t="str">
        <f>"00506035"</f>
        <v>00506035</v>
      </c>
    </row>
    <row r="1909" spans="1:2" x14ac:dyDescent="0.25">
      <c r="A1909" s="3">
        <v>1904</v>
      </c>
      <c r="B1909" s="3" t="str">
        <f>"00506150"</f>
        <v>00506150</v>
      </c>
    </row>
    <row r="1910" spans="1:2" x14ac:dyDescent="0.25">
      <c r="A1910" s="3">
        <v>1905</v>
      </c>
      <c r="B1910" s="3" t="str">
        <f>"00506168"</f>
        <v>00506168</v>
      </c>
    </row>
    <row r="1911" spans="1:2" x14ac:dyDescent="0.25">
      <c r="A1911" s="3">
        <v>1906</v>
      </c>
      <c r="B1911" s="3" t="str">
        <f>"00506218"</f>
        <v>00506218</v>
      </c>
    </row>
    <row r="1912" spans="1:2" x14ac:dyDescent="0.25">
      <c r="A1912" s="3">
        <v>1907</v>
      </c>
      <c r="B1912" s="3" t="str">
        <f>"00506253"</f>
        <v>00506253</v>
      </c>
    </row>
    <row r="1913" spans="1:2" x14ac:dyDescent="0.25">
      <c r="A1913" s="3">
        <v>1908</v>
      </c>
      <c r="B1913" s="3" t="str">
        <f>"00506289"</f>
        <v>00506289</v>
      </c>
    </row>
    <row r="1914" spans="1:2" x14ac:dyDescent="0.25">
      <c r="A1914" s="3">
        <v>1909</v>
      </c>
      <c r="B1914" s="3" t="str">
        <f>"00506369"</f>
        <v>00506369</v>
      </c>
    </row>
    <row r="1915" spans="1:2" x14ac:dyDescent="0.25">
      <c r="A1915" s="3">
        <v>1910</v>
      </c>
      <c r="B1915" s="3" t="str">
        <f>"00506496"</f>
        <v>00506496</v>
      </c>
    </row>
    <row r="1916" spans="1:2" x14ac:dyDescent="0.25">
      <c r="A1916" s="3">
        <v>1911</v>
      </c>
      <c r="B1916" s="3" t="str">
        <f>"00506534"</f>
        <v>00506534</v>
      </c>
    </row>
    <row r="1917" spans="1:2" x14ac:dyDescent="0.25">
      <c r="A1917" s="3">
        <v>1912</v>
      </c>
      <c r="B1917" s="3" t="str">
        <f>"00506640"</f>
        <v>00506640</v>
      </c>
    </row>
    <row r="1918" spans="1:2" x14ac:dyDescent="0.25">
      <c r="A1918" s="3">
        <v>1913</v>
      </c>
      <c r="B1918" s="3" t="str">
        <f>"00506936"</f>
        <v>00506936</v>
      </c>
    </row>
    <row r="1919" spans="1:2" x14ac:dyDescent="0.25">
      <c r="A1919" s="3">
        <v>1914</v>
      </c>
      <c r="B1919" s="3" t="str">
        <f>"00506941"</f>
        <v>00506941</v>
      </c>
    </row>
    <row r="1920" spans="1:2" x14ac:dyDescent="0.25">
      <c r="A1920" s="3">
        <v>1915</v>
      </c>
      <c r="B1920" s="3" t="str">
        <f>"00506955"</f>
        <v>00506955</v>
      </c>
    </row>
    <row r="1921" spans="1:2" x14ac:dyDescent="0.25">
      <c r="A1921" s="3">
        <v>1916</v>
      </c>
      <c r="B1921" s="3" t="str">
        <f>"00506996"</f>
        <v>00506996</v>
      </c>
    </row>
    <row r="1922" spans="1:2" x14ac:dyDescent="0.25">
      <c r="A1922" s="3">
        <v>1917</v>
      </c>
      <c r="B1922" s="3" t="str">
        <f>"00507102"</f>
        <v>00507102</v>
      </c>
    </row>
    <row r="1923" spans="1:2" x14ac:dyDescent="0.25">
      <c r="A1923" s="3">
        <v>1918</v>
      </c>
      <c r="B1923" s="3" t="str">
        <f>"00507324"</f>
        <v>00507324</v>
      </c>
    </row>
    <row r="1924" spans="1:2" x14ac:dyDescent="0.25">
      <c r="A1924" s="3">
        <v>1919</v>
      </c>
      <c r="B1924" s="3" t="str">
        <f>"00507562"</f>
        <v>00507562</v>
      </c>
    </row>
    <row r="1925" spans="1:2" x14ac:dyDescent="0.25">
      <c r="A1925" s="3">
        <v>1920</v>
      </c>
      <c r="B1925" s="3" t="str">
        <f>"00507690"</f>
        <v>00507690</v>
      </c>
    </row>
    <row r="1926" spans="1:2" x14ac:dyDescent="0.25">
      <c r="A1926" s="3">
        <v>1921</v>
      </c>
      <c r="B1926" s="3" t="str">
        <f>"00507728"</f>
        <v>00507728</v>
      </c>
    </row>
    <row r="1927" spans="1:2" x14ac:dyDescent="0.25">
      <c r="A1927" s="3">
        <v>1922</v>
      </c>
      <c r="B1927" s="3" t="str">
        <f>"00507805"</f>
        <v>00507805</v>
      </c>
    </row>
    <row r="1928" spans="1:2" x14ac:dyDescent="0.25">
      <c r="A1928" s="3">
        <v>1923</v>
      </c>
      <c r="B1928" s="3" t="str">
        <f>"00508149"</f>
        <v>00508149</v>
      </c>
    </row>
    <row r="1929" spans="1:2" x14ac:dyDescent="0.25">
      <c r="A1929" s="3">
        <v>1924</v>
      </c>
      <c r="B1929" s="3" t="str">
        <f>"00508256"</f>
        <v>00508256</v>
      </c>
    </row>
    <row r="1930" spans="1:2" x14ac:dyDescent="0.25">
      <c r="A1930" s="3">
        <v>1925</v>
      </c>
      <c r="B1930" s="3" t="str">
        <f>"00508383"</f>
        <v>00508383</v>
      </c>
    </row>
    <row r="1931" spans="1:2" x14ac:dyDescent="0.25">
      <c r="A1931" s="3">
        <v>1926</v>
      </c>
      <c r="B1931" s="3" t="str">
        <f>"00508401"</f>
        <v>00508401</v>
      </c>
    </row>
    <row r="1932" spans="1:2" x14ac:dyDescent="0.25">
      <c r="A1932" s="3">
        <v>1927</v>
      </c>
      <c r="B1932" s="3" t="str">
        <f>"00509199"</f>
        <v>00509199</v>
      </c>
    </row>
    <row r="1933" spans="1:2" x14ac:dyDescent="0.25">
      <c r="A1933" s="3">
        <v>1928</v>
      </c>
      <c r="B1933" s="3" t="str">
        <f>"00509290"</f>
        <v>00509290</v>
      </c>
    </row>
    <row r="1934" spans="1:2" x14ac:dyDescent="0.25">
      <c r="A1934" s="3">
        <v>1929</v>
      </c>
      <c r="B1934" s="3" t="str">
        <f>"00509915"</f>
        <v>00509915</v>
      </c>
    </row>
    <row r="1935" spans="1:2" x14ac:dyDescent="0.25">
      <c r="A1935" s="3">
        <v>1930</v>
      </c>
      <c r="B1935" s="3" t="str">
        <f>"00509973"</f>
        <v>00509973</v>
      </c>
    </row>
    <row r="1936" spans="1:2" x14ac:dyDescent="0.25">
      <c r="A1936" s="3">
        <v>1931</v>
      </c>
      <c r="B1936" s="3" t="str">
        <f>"00510297"</f>
        <v>00510297</v>
      </c>
    </row>
    <row r="1937" spans="1:2" x14ac:dyDescent="0.25">
      <c r="A1937" s="3">
        <v>1932</v>
      </c>
      <c r="B1937" s="3" t="str">
        <f>"00510572"</f>
        <v>00510572</v>
      </c>
    </row>
    <row r="1938" spans="1:2" x14ac:dyDescent="0.25">
      <c r="A1938" s="3">
        <v>1933</v>
      </c>
      <c r="B1938" s="3" t="str">
        <f>"00510611"</f>
        <v>00510611</v>
      </c>
    </row>
    <row r="1939" spans="1:2" x14ac:dyDescent="0.25">
      <c r="A1939" s="3">
        <v>1934</v>
      </c>
      <c r="B1939" s="3" t="str">
        <f>"00511065"</f>
        <v>00511065</v>
      </c>
    </row>
    <row r="1940" spans="1:2" x14ac:dyDescent="0.25">
      <c r="A1940" s="3">
        <v>1935</v>
      </c>
      <c r="B1940" s="3" t="str">
        <f>"00511354"</f>
        <v>00511354</v>
      </c>
    </row>
    <row r="1941" spans="1:2" x14ac:dyDescent="0.25">
      <c r="A1941" s="3">
        <v>1936</v>
      </c>
      <c r="B1941" s="3" t="str">
        <f>"00511390"</f>
        <v>00511390</v>
      </c>
    </row>
    <row r="1942" spans="1:2" x14ac:dyDescent="0.25">
      <c r="A1942" s="3">
        <v>1937</v>
      </c>
      <c r="B1942" s="3" t="str">
        <f>"00511618"</f>
        <v>00511618</v>
      </c>
    </row>
    <row r="1943" spans="1:2" x14ac:dyDescent="0.25">
      <c r="A1943" s="3">
        <v>1938</v>
      </c>
      <c r="B1943" s="3" t="str">
        <f>"00511822"</f>
        <v>00511822</v>
      </c>
    </row>
    <row r="1944" spans="1:2" x14ac:dyDescent="0.25">
      <c r="A1944" s="3">
        <v>1939</v>
      </c>
      <c r="B1944" s="3" t="str">
        <f>"00511874"</f>
        <v>00511874</v>
      </c>
    </row>
    <row r="1945" spans="1:2" x14ac:dyDescent="0.25">
      <c r="A1945" s="3">
        <v>1940</v>
      </c>
      <c r="B1945" s="3" t="str">
        <f>"00511908"</f>
        <v>00511908</v>
      </c>
    </row>
    <row r="1946" spans="1:2" x14ac:dyDescent="0.25">
      <c r="A1946" s="3">
        <v>1941</v>
      </c>
      <c r="B1946" s="3" t="str">
        <f>"00512010"</f>
        <v>00512010</v>
      </c>
    </row>
    <row r="1947" spans="1:2" x14ac:dyDescent="0.25">
      <c r="A1947" s="3">
        <v>1942</v>
      </c>
      <c r="B1947" s="3" t="str">
        <f>"00512183"</f>
        <v>00512183</v>
      </c>
    </row>
    <row r="1948" spans="1:2" x14ac:dyDescent="0.25">
      <c r="A1948" s="3">
        <v>1943</v>
      </c>
      <c r="B1948" s="3" t="str">
        <f>"00512267"</f>
        <v>00512267</v>
      </c>
    </row>
    <row r="1949" spans="1:2" x14ac:dyDescent="0.25">
      <c r="A1949" s="3">
        <v>1944</v>
      </c>
      <c r="B1949" s="3" t="str">
        <f>"00512527"</f>
        <v>00512527</v>
      </c>
    </row>
    <row r="1950" spans="1:2" x14ac:dyDescent="0.25">
      <c r="A1950" s="3">
        <v>1945</v>
      </c>
      <c r="B1950" s="3" t="str">
        <f>"00512951"</f>
        <v>00512951</v>
      </c>
    </row>
    <row r="1951" spans="1:2" x14ac:dyDescent="0.25">
      <c r="A1951" s="3">
        <v>1946</v>
      </c>
      <c r="B1951" s="3" t="str">
        <f>"00512996"</f>
        <v>00512996</v>
      </c>
    </row>
    <row r="1952" spans="1:2" x14ac:dyDescent="0.25">
      <c r="A1952" s="3">
        <v>1947</v>
      </c>
      <c r="B1952" s="3" t="str">
        <f>"00513205"</f>
        <v>00513205</v>
      </c>
    </row>
    <row r="1953" spans="1:2" x14ac:dyDescent="0.25">
      <c r="A1953" s="3">
        <v>1948</v>
      </c>
      <c r="B1953" s="3" t="str">
        <f>"00513527"</f>
        <v>00513527</v>
      </c>
    </row>
    <row r="1954" spans="1:2" x14ac:dyDescent="0.25">
      <c r="A1954" s="3">
        <v>1949</v>
      </c>
      <c r="B1954" s="3" t="str">
        <f>"00513744"</f>
        <v>00513744</v>
      </c>
    </row>
    <row r="1955" spans="1:2" x14ac:dyDescent="0.25">
      <c r="A1955" s="3">
        <v>1950</v>
      </c>
      <c r="B1955" s="3" t="str">
        <f>"00514388"</f>
        <v>00514388</v>
      </c>
    </row>
    <row r="1956" spans="1:2" x14ac:dyDescent="0.25">
      <c r="A1956" s="3">
        <v>1951</v>
      </c>
      <c r="B1956" s="3" t="str">
        <f>"00514523"</f>
        <v>00514523</v>
      </c>
    </row>
    <row r="1957" spans="1:2" x14ac:dyDescent="0.25">
      <c r="A1957" s="3">
        <v>1952</v>
      </c>
      <c r="B1957" s="3" t="str">
        <f>"00514636"</f>
        <v>00514636</v>
      </c>
    </row>
    <row r="1958" spans="1:2" x14ac:dyDescent="0.25">
      <c r="A1958" s="3">
        <v>1953</v>
      </c>
      <c r="B1958" s="3" t="str">
        <f>"00514741"</f>
        <v>00514741</v>
      </c>
    </row>
    <row r="1959" spans="1:2" x14ac:dyDescent="0.25">
      <c r="A1959" s="3">
        <v>1954</v>
      </c>
      <c r="B1959" s="3" t="str">
        <f>"00514792"</f>
        <v>00514792</v>
      </c>
    </row>
    <row r="1960" spans="1:2" x14ac:dyDescent="0.25">
      <c r="A1960" s="3">
        <v>1955</v>
      </c>
      <c r="B1960" s="3" t="str">
        <f>"00514870"</f>
        <v>00514870</v>
      </c>
    </row>
    <row r="1961" spans="1:2" x14ac:dyDescent="0.25">
      <c r="A1961" s="3">
        <v>1956</v>
      </c>
      <c r="B1961" s="3" t="str">
        <f>"00514884"</f>
        <v>00514884</v>
      </c>
    </row>
    <row r="1962" spans="1:2" x14ac:dyDescent="0.25">
      <c r="A1962" s="3">
        <v>1957</v>
      </c>
      <c r="B1962" s="3" t="str">
        <f>"00514929"</f>
        <v>00514929</v>
      </c>
    </row>
    <row r="1963" spans="1:2" x14ac:dyDescent="0.25">
      <c r="A1963" s="3">
        <v>1958</v>
      </c>
      <c r="B1963" s="3" t="str">
        <f>"00515444"</f>
        <v>00515444</v>
      </c>
    </row>
    <row r="1964" spans="1:2" x14ac:dyDescent="0.25">
      <c r="A1964" s="3">
        <v>1959</v>
      </c>
      <c r="B1964" s="3" t="str">
        <f>"00515634"</f>
        <v>00515634</v>
      </c>
    </row>
    <row r="1965" spans="1:2" x14ac:dyDescent="0.25">
      <c r="A1965" s="3">
        <v>1960</v>
      </c>
      <c r="B1965" s="3" t="str">
        <f>"00516423"</f>
        <v>00516423</v>
      </c>
    </row>
    <row r="1966" spans="1:2" x14ac:dyDescent="0.25">
      <c r="A1966" s="3">
        <v>1961</v>
      </c>
      <c r="B1966" s="3" t="str">
        <f>"00516491"</f>
        <v>00516491</v>
      </c>
    </row>
    <row r="1967" spans="1:2" x14ac:dyDescent="0.25">
      <c r="A1967" s="3">
        <v>1962</v>
      </c>
      <c r="B1967" s="3" t="str">
        <f>"00516529"</f>
        <v>00516529</v>
      </c>
    </row>
    <row r="1968" spans="1:2" x14ac:dyDescent="0.25">
      <c r="A1968" s="3">
        <v>1963</v>
      </c>
      <c r="B1968" s="3" t="str">
        <f>"00516560"</f>
        <v>00516560</v>
      </c>
    </row>
    <row r="1969" spans="1:2" x14ac:dyDescent="0.25">
      <c r="A1969" s="3">
        <v>1964</v>
      </c>
      <c r="B1969" s="3" t="str">
        <f>"00516579"</f>
        <v>00516579</v>
      </c>
    </row>
    <row r="1970" spans="1:2" x14ac:dyDescent="0.25">
      <c r="A1970" s="3">
        <v>1965</v>
      </c>
      <c r="B1970" s="3" t="str">
        <f>"00517060"</f>
        <v>00517060</v>
      </c>
    </row>
    <row r="1971" spans="1:2" x14ac:dyDescent="0.25">
      <c r="A1971" s="3">
        <v>1966</v>
      </c>
      <c r="B1971" s="3" t="str">
        <f>"00517166"</f>
        <v>00517166</v>
      </c>
    </row>
    <row r="1972" spans="1:2" x14ac:dyDescent="0.25">
      <c r="A1972" s="3">
        <v>1967</v>
      </c>
      <c r="B1972" s="3" t="str">
        <f>"00517213"</f>
        <v>00517213</v>
      </c>
    </row>
    <row r="1973" spans="1:2" x14ac:dyDescent="0.25">
      <c r="A1973" s="3">
        <v>1968</v>
      </c>
      <c r="B1973" s="3" t="str">
        <f>"00517270"</f>
        <v>00517270</v>
      </c>
    </row>
    <row r="1974" spans="1:2" x14ac:dyDescent="0.25">
      <c r="A1974" s="3">
        <v>1969</v>
      </c>
      <c r="B1974" s="3" t="str">
        <f>"00517482"</f>
        <v>00517482</v>
      </c>
    </row>
    <row r="1975" spans="1:2" x14ac:dyDescent="0.25">
      <c r="A1975" s="3">
        <v>1970</v>
      </c>
      <c r="B1975" s="3" t="str">
        <f>"00517774"</f>
        <v>00517774</v>
      </c>
    </row>
    <row r="1976" spans="1:2" x14ac:dyDescent="0.25">
      <c r="A1976" s="3">
        <v>1971</v>
      </c>
      <c r="B1976" s="3" t="str">
        <f>"00518151"</f>
        <v>00518151</v>
      </c>
    </row>
    <row r="1977" spans="1:2" x14ac:dyDescent="0.25">
      <c r="A1977" s="3">
        <v>1972</v>
      </c>
      <c r="B1977" s="3" t="str">
        <f>"00518334"</f>
        <v>00518334</v>
      </c>
    </row>
    <row r="1978" spans="1:2" x14ac:dyDescent="0.25">
      <c r="A1978" s="3">
        <v>1973</v>
      </c>
      <c r="B1978" s="3" t="str">
        <f>"00518385"</f>
        <v>00518385</v>
      </c>
    </row>
    <row r="1979" spans="1:2" x14ac:dyDescent="0.25">
      <c r="A1979" s="3">
        <v>1974</v>
      </c>
      <c r="B1979" s="3" t="str">
        <f>"00518927"</f>
        <v>00518927</v>
      </c>
    </row>
    <row r="1980" spans="1:2" x14ac:dyDescent="0.25">
      <c r="A1980" s="3">
        <v>1975</v>
      </c>
      <c r="B1980" s="3" t="str">
        <f>"00519016"</f>
        <v>00519016</v>
      </c>
    </row>
    <row r="1981" spans="1:2" x14ac:dyDescent="0.25">
      <c r="A1981" s="3">
        <v>1976</v>
      </c>
      <c r="B1981" s="3" t="str">
        <f>"00519037"</f>
        <v>00519037</v>
      </c>
    </row>
    <row r="1982" spans="1:2" x14ac:dyDescent="0.25">
      <c r="A1982" s="3">
        <v>1977</v>
      </c>
      <c r="B1982" s="3" t="str">
        <f>"00519458"</f>
        <v>00519458</v>
      </c>
    </row>
    <row r="1983" spans="1:2" x14ac:dyDescent="0.25">
      <c r="A1983" s="3">
        <v>1978</v>
      </c>
      <c r="B1983" s="3" t="str">
        <f>"00520239"</f>
        <v>00520239</v>
      </c>
    </row>
    <row r="1984" spans="1:2" x14ac:dyDescent="0.25">
      <c r="A1984" s="3">
        <v>1979</v>
      </c>
      <c r="B1984" s="3" t="str">
        <f>"00520265"</f>
        <v>00520265</v>
      </c>
    </row>
    <row r="1985" spans="1:2" x14ac:dyDescent="0.25">
      <c r="A1985" s="3">
        <v>1980</v>
      </c>
      <c r="B1985" s="3" t="str">
        <f>"00520410"</f>
        <v>00520410</v>
      </c>
    </row>
    <row r="1986" spans="1:2" x14ac:dyDescent="0.25">
      <c r="A1986" s="3">
        <v>1981</v>
      </c>
      <c r="B1986" s="3" t="str">
        <f>"00520434"</f>
        <v>00520434</v>
      </c>
    </row>
    <row r="1987" spans="1:2" x14ac:dyDescent="0.25">
      <c r="A1987" s="3">
        <v>1982</v>
      </c>
      <c r="B1987" s="3" t="str">
        <f>"00520584"</f>
        <v>00520584</v>
      </c>
    </row>
    <row r="1988" spans="1:2" x14ac:dyDescent="0.25">
      <c r="A1988" s="3">
        <v>1983</v>
      </c>
      <c r="B1988" s="3" t="str">
        <f>"00521395"</f>
        <v>00521395</v>
      </c>
    </row>
    <row r="1989" spans="1:2" x14ac:dyDescent="0.25">
      <c r="A1989" s="3">
        <v>1984</v>
      </c>
      <c r="B1989" s="3" t="str">
        <f>"00521458"</f>
        <v>00521458</v>
      </c>
    </row>
    <row r="1990" spans="1:2" x14ac:dyDescent="0.25">
      <c r="A1990" s="3">
        <v>1985</v>
      </c>
      <c r="B1990" s="3" t="str">
        <f>"00521692"</f>
        <v>00521692</v>
      </c>
    </row>
    <row r="1991" spans="1:2" x14ac:dyDescent="0.25">
      <c r="A1991" s="3">
        <v>1986</v>
      </c>
      <c r="B1991" s="3" t="str">
        <f>"00522008"</f>
        <v>00522008</v>
      </c>
    </row>
    <row r="1992" spans="1:2" x14ac:dyDescent="0.25">
      <c r="A1992" s="3">
        <v>1987</v>
      </c>
      <c r="B1992" s="3" t="str">
        <f>"00522155"</f>
        <v>00522155</v>
      </c>
    </row>
    <row r="1993" spans="1:2" x14ac:dyDescent="0.25">
      <c r="A1993" s="3">
        <v>1988</v>
      </c>
      <c r="B1993" s="3" t="str">
        <f>"00522451"</f>
        <v>00522451</v>
      </c>
    </row>
    <row r="1994" spans="1:2" x14ac:dyDescent="0.25">
      <c r="A1994" s="3">
        <v>1989</v>
      </c>
      <c r="B1994" s="3" t="str">
        <f>"00522602"</f>
        <v>00522602</v>
      </c>
    </row>
    <row r="1995" spans="1:2" x14ac:dyDescent="0.25">
      <c r="A1995" s="3">
        <v>1990</v>
      </c>
      <c r="B1995" s="3" t="str">
        <f>"00522972"</f>
        <v>00522972</v>
      </c>
    </row>
    <row r="1996" spans="1:2" x14ac:dyDescent="0.25">
      <c r="A1996" s="3">
        <v>1991</v>
      </c>
      <c r="B1996" s="3" t="str">
        <f>"00523229"</f>
        <v>00523229</v>
      </c>
    </row>
    <row r="1997" spans="1:2" x14ac:dyDescent="0.25">
      <c r="A1997" s="3">
        <v>1992</v>
      </c>
      <c r="B1997" s="3" t="str">
        <f>"00523682"</f>
        <v>00523682</v>
      </c>
    </row>
    <row r="1998" spans="1:2" x14ac:dyDescent="0.25">
      <c r="A1998" s="3">
        <v>1993</v>
      </c>
      <c r="B1998" s="3" t="str">
        <f>"00523717"</f>
        <v>00523717</v>
      </c>
    </row>
    <row r="1999" spans="1:2" x14ac:dyDescent="0.25">
      <c r="A1999" s="3">
        <v>1994</v>
      </c>
      <c r="B1999" s="3" t="str">
        <f>"00523766"</f>
        <v>00523766</v>
      </c>
    </row>
    <row r="2000" spans="1:2" x14ac:dyDescent="0.25">
      <c r="A2000" s="3">
        <v>1995</v>
      </c>
      <c r="B2000" s="3" t="str">
        <f>"00524174"</f>
        <v>00524174</v>
      </c>
    </row>
    <row r="2001" spans="1:2" x14ac:dyDescent="0.25">
      <c r="A2001" s="3">
        <v>1996</v>
      </c>
      <c r="B2001" s="3" t="str">
        <f>"00524290"</f>
        <v>00524290</v>
      </c>
    </row>
    <row r="2002" spans="1:2" x14ac:dyDescent="0.25">
      <c r="A2002" s="3">
        <v>1997</v>
      </c>
      <c r="B2002" s="3" t="str">
        <f>"00524609"</f>
        <v>00524609</v>
      </c>
    </row>
    <row r="2003" spans="1:2" x14ac:dyDescent="0.25">
      <c r="A2003" s="3">
        <v>1998</v>
      </c>
      <c r="B2003" s="3" t="str">
        <f>"00524668"</f>
        <v>00524668</v>
      </c>
    </row>
    <row r="2004" spans="1:2" x14ac:dyDescent="0.25">
      <c r="A2004" s="3">
        <v>1999</v>
      </c>
      <c r="B2004" s="3" t="str">
        <f>"00524748"</f>
        <v>00524748</v>
      </c>
    </row>
    <row r="2005" spans="1:2" x14ac:dyDescent="0.25">
      <c r="A2005" s="3">
        <v>2000</v>
      </c>
      <c r="B2005" s="3" t="str">
        <f>"00524945"</f>
        <v>00524945</v>
      </c>
    </row>
    <row r="2006" spans="1:2" x14ac:dyDescent="0.25">
      <c r="A2006" s="3">
        <v>2001</v>
      </c>
      <c r="B2006" s="3" t="str">
        <f>"00525144"</f>
        <v>00525144</v>
      </c>
    </row>
    <row r="2007" spans="1:2" x14ac:dyDescent="0.25">
      <c r="A2007" s="3">
        <v>2002</v>
      </c>
      <c r="B2007" s="3" t="str">
        <f>"00525216"</f>
        <v>00525216</v>
      </c>
    </row>
    <row r="2008" spans="1:2" x14ac:dyDescent="0.25">
      <c r="A2008" s="3">
        <v>2003</v>
      </c>
      <c r="B2008" s="3" t="str">
        <f>"00525335"</f>
        <v>00525335</v>
      </c>
    </row>
    <row r="2009" spans="1:2" x14ac:dyDescent="0.25">
      <c r="A2009" s="3">
        <v>2004</v>
      </c>
      <c r="B2009" s="3" t="str">
        <f>"00525431"</f>
        <v>00525431</v>
      </c>
    </row>
    <row r="2010" spans="1:2" x14ac:dyDescent="0.25">
      <c r="A2010" s="3">
        <v>2005</v>
      </c>
      <c r="B2010" s="3" t="str">
        <f>"00525540"</f>
        <v>00525540</v>
      </c>
    </row>
    <row r="2011" spans="1:2" x14ac:dyDescent="0.25">
      <c r="A2011" s="3">
        <v>2006</v>
      </c>
      <c r="B2011" s="3" t="str">
        <f>"00525760"</f>
        <v>00525760</v>
      </c>
    </row>
    <row r="2012" spans="1:2" x14ac:dyDescent="0.25">
      <c r="A2012" s="3">
        <v>2007</v>
      </c>
      <c r="B2012" s="3" t="str">
        <f>"00525820"</f>
        <v>00525820</v>
      </c>
    </row>
    <row r="2013" spans="1:2" x14ac:dyDescent="0.25">
      <c r="A2013" s="3">
        <v>2008</v>
      </c>
      <c r="B2013" s="3" t="str">
        <f>"00525950"</f>
        <v>00525950</v>
      </c>
    </row>
    <row r="2014" spans="1:2" x14ac:dyDescent="0.25">
      <c r="A2014" s="3">
        <v>2009</v>
      </c>
      <c r="B2014" s="3" t="str">
        <f>"00526039"</f>
        <v>00526039</v>
      </c>
    </row>
    <row r="2015" spans="1:2" x14ac:dyDescent="0.25">
      <c r="A2015" s="3">
        <v>2010</v>
      </c>
      <c r="B2015" s="3" t="str">
        <f>"00526289"</f>
        <v>00526289</v>
      </c>
    </row>
    <row r="2016" spans="1:2" x14ac:dyDescent="0.25">
      <c r="A2016" s="3">
        <v>2011</v>
      </c>
      <c r="B2016" s="3" t="str">
        <f>"00526423"</f>
        <v>00526423</v>
      </c>
    </row>
    <row r="2017" spans="1:2" x14ac:dyDescent="0.25">
      <c r="A2017" s="3">
        <v>2012</v>
      </c>
      <c r="B2017" s="3" t="str">
        <f>"00526540"</f>
        <v>00526540</v>
      </c>
    </row>
    <row r="2018" spans="1:2" x14ac:dyDescent="0.25">
      <c r="A2018" s="3">
        <v>2013</v>
      </c>
      <c r="B2018" s="3" t="str">
        <f>"00526725"</f>
        <v>00526725</v>
      </c>
    </row>
    <row r="2019" spans="1:2" x14ac:dyDescent="0.25">
      <c r="A2019" s="3">
        <v>2014</v>
      </c>
      <c r="B2019" s="3" t="str">
        <f>"00526884"</f>
        <v>00526884</v>
      </c>
    </row>
    <row r="2020" spans="1:2" x14ac:dyDescent="0.25">
      <c r="A2020" s="3">
        <v>2015</v>
      </c>
      <c r="B2020" s="3" t="str">
        <f>"00526962"</f>
        <v>00526962</v>
      </c>
    </row>
    <row r="2021" spans="1:2" x14ac:dyDescent="0.25">
      <c r="A2021" s="3">
        <v>2016</v>
      </c>
      <c r="B2021" s="3" t="str">
        <f>"00527235"</f>
        <v>00527235</v>
      </c>
    </row>
    <row r="2022" spans="1:2" x14ac:dyDescent="0.25">
      <c r="A2022" s="3">
        <v>2017</v>
      </c>
      <c r="B2022" s="3" t="str">
        <f>"00528029"</f>
        <v>00528029</v>
      </c>
    </row>
    <row r="2023" spans="1:2" x14ac:dyDescent="0.25">
      <c r="A2023" s="3">
        <v>2018</v>
      </c>
      <c r="B2023" s="3" t="str">
        <f>"00528250"</f>
        <v>00528250</v>
      </c>
    </row>
    <row r="2024" spans="1:2" x14ac:dyDescent="0.25">
      <c r="A2024" s="3">
        <v>2019</v>
      </c>
      <c r="B2024" s="3" t="str">
        <f>"00528297"</f>
        <v>00528297</v>
      </c>
    </row>
    <row r="2025" spans="1:2" x14ac:dyDescent="0.25">
      <c r="A2025" s="3">
        <v>2020</v>
      </c>
      <c r="B2025" s="3" t="str">
        <f>"00528495"</f>
        <v>00528495</v>
      </c>
    </row>
    <row r="2026" spans="1:2" x14ac:dyDescent="0.25">
      <c r="A2026" s="3">
        <v>2021</v>
      </c>
      <c r="B2026" s="3" t="str">
        <f>"00528636"</f>
        <v>00528636</v>
      </c>
    </row>
    <row r="2027" spans="1:2" x14ac:dyDescent="0.25">
      <c r="A2027" s="3">
        <v>2022</v>
      </c>
      <c r="B2027" s="3" t="str">
        <f>"00528652"</f>
        <v>00528652</v>
      </c>
    </row>
    <row r="2028" spans="1:2" x14ac:dyDescent="0.25">
      <c r="A2028" s="3">
        <v>2023</v>
      </c>
      <c r="B2028" s="3" t="str">
        <f>"00528856"</f>
        <v>00528856</v>
      </c>
    </row>
    <row r="2029" spans="1:2" x14ac:dyDescent="0.25">
      <c r="A2029" s="3">
        <v>2024</v>
      </c>
      <c r="B2029" s="3" t="str">
        <f>"00528879"</f>
        <v>00528879</v>
      </c>
    </row>
    <row r="2030" spans="1:2" x14ac:dyDescent="0.25">
      <c r="A2030" s="3">
        <v>2025</v>
      </c>
      <c r="B2030" s="3" t="str">
        <f>"00528882"</f>
        <v>00528882</v>
      </c>
    </row>
    <row r="2031" spans="1:2" x14ac:dyDescent="0.25">
      <c r="A2031" s="3">
        <v>2026</v>
      </c>
      <c r="B2031" s="3" t="str">
        <f>"00529438"</f>
        <v>00529438</v>
      </c>
    </row>
    <row r="2032" spans="1:2" x14ac:dyDescent="0.25">
      <c r="A2032" s="3">
        <v>2027</v>
      </c>
      <c r="B2032" s="3" t="str">
        <f>"00529457"</f>
        <v>00529457</v>
      </c>
    </row>
    <row r="2033" spans="1:2" x14ac:dyDescent="0.25">
      <c r="A2033" s="3">
        <v>2028</v>
      </c>
      <c r="B2033" s="3" t="str">
        <f>"00529686"</f>
        <v>00529686</v>
      </c>
    </row>
    <row r="2034" spans="1:2" x14ac:dyDescent="0.25">
      <c r="A2034" s="3">
        <v>2029</v>
      </c>
      <c r="B2034" s="3" t="str">
        <f>"00529694"</f>
        <v>00529694</v>
      </c>
    </row>
    <row r="2035" spans="1:2" x14ac:dyDescent="0.25">
      <c r="A2035" s="3">
        <v>2030</v>
      </c>
      <c r="B2035" s="3" t="str">
        <f>"00529697"</f>
        <v>00529697</v>
      </c>
    </row>
    <row r="2036" spans="1:2" x14ac:dyDescent="0.25">
      <c r="A2036" s="3">
        <v>2031</v>
      </c>
      <c r="B2036" s="3" t="str">
        <f>"00529708"</f>
        <v>00529708</v>
      </c>
    </row>
    <row r="2037" spans="1:2" x14ac:dyDescent="0.25">
      <c r="A2037" s="3">
        <v>2032</v>
      </c>
      <c r="B2037" s="3" t="str">
        <f>"00529718"</f>
        <v>00529718</v>
      </c>
    </row>
    <row r="2038" spans="1:2" x14ac:dyDescent="0.25">
      <c r="A2038" s="3">
        <v>2033</v>
      </c>
      <c r="B2038" s="3" t="str">
        <f>"00529962"</f>
        <v>00529962</v>
      </c>
    </row>
    <row r="2039" spans="1:2" x14ac:dyDescent="0.25">
      <c r="A2039" s="3">
        <v>2034</v>
      </c>
      <c r="B2039" s="3" t="str">
        <f>"00530054"</f>
        <v>00530054</v>
      </c>
    </row>
    <row r="2040" spans="1:2" x14ac:dyDescent="0.25">
      <c r="A2040" s="3">
        <v>2035</v>
      </c>
      <c r="B2040" s="3" t="str">
        <f>"00530085"</f>
        <v>00530085</v>
      </c>
    </row>
    <row r="2041" spans="1:2" x14ac:dyDescent="0.25">
      <c r="A2041" s="3">
        <v>2036</v>
      </c>
      <c r="B2041" s="3" t="str">
        <f>"00530099"</f>
        <v>00530099</v>
      </c>
    </row>
    <row r="2042" spans="1:2" x14ac:dyDescent="0.25">
      <c r="A2042" s="3">
        <v>2037</v>
      </c>
      <c r="B2042" s="3" t="str">
        <f>"00530109"</f>
        <v>00530109</v>
      </c>
    </row>
    <row r="2043" spans="1:2" x14ac:dyDescent="0.25">
      <c r="A2043" s="3">
        <v>2038</v>
      </c>
      <c r="B2043" s="3" t="str">
        <f>"00530123"</f>
        <v>00530123</v>
      </c>
    </row>
    <row r="2044" spans="1:2" x14ac:dyDescent="0.25">
      <c r="A2044" s="3">
        <v>2039</v>
      </c>
      <c r="B2044" s="3" t="str">
        <f>"00530150"</f>
        <v>00530150</v>
      </c>
    </row>
    <row r="2045" spans="1:2" x14ac:dyDescent="0.25">
      <c r="A2045" s="3">
        <v>2040</v>
      </c>
      <c r="B2045" s="3" t="str">
        <f>"00530152"</f>
        <v>00530152</v>
      </c>
    </row>
    <row r="2046" spans="1:2" x14ac:dyDescent="0.25">
      <c r="A2046" s="3">
        <v>2041</v>
      </c>
      <c r="B2046" s="3" t="str">
        <f>"00530208"</f>
        <v>00530208</v>
      </c>
    </row>
    <row r="2047" spans="1:2" x14ac:dyDescent="0.25">
      <c r="A2047" s="3">
        <v>2042</v>
      </c>
      <c r="B2047" s="3" t="str">
        <f>"00530259"</f>
        <v>00530259</v>
      </c>
    </row>
    <row r="2048" spans="1:2" x14ac:dyDescent="0.25">
      <c r="A2048" s="3">
        <v>2043</v>
      </c>
      <c r="B2048" s="3" t="str">
        <f>"00530270"</f>
        <v>00530270</v>
      </c>
    </row>
    <row r="2049" spans="1:2" x14ac:dyDescent="0.25">
      <c r="A2049" s="3">
        <v>2044</v>
      </c>
      <c r="B2049" s="3" t="str">
        <f>"00530330"</f>
        <v>00530330</v>
      </c>
    </row>
    <row r="2050" spans="1:2" x14ac:dyDescent="0.25">
      <c r="A2050" s="3">
        <v>2045</v>
      </c>
      <c r="B2050" s="3" t="str">
        <f>"00530339"</f>
        <v>00530339</v>
      </c>
    </row>
    <row r="2051" spans="1:2" x14ac:dyDescent="0.25">
      <c r="A2051" s="3">
        <v>2046</v>
      </c>
      <c r="B2051" s="3" t="str">
        <f>"00530355"</f>
        <v>00530355</v>
      </c>
    </row>
    <row r="2052" spans="1:2" x14ac:dyDescent="0.25">
      <c r="A2052" s="3">
        <v>2047</v>
      </c>
      <c r="B2052" s="3" t="str">
        <f>"00530366"</f>
        <v>00530366</v>
      </c>
    </row>
    <row r="2053" spans="1:2" x14ac:dyDescent="0.25">
      <c r="A2053" s="3">
        <v>2048</v>
      </c>
      <c r="B2053" s="3" t="str">
        <f>"00530408"</f>
        <v>00530408</v>
      </c>
    </row>
    <row r="2054" spans="1:2" x14ac:dyDescent="0.25">
      <c r="A2054" s="3">
        <v>2049</v>
      </c>
      <c r="B2054" s="3" t="str">
        <f>"00530419"</f>
        <v>00530419</v>
      </c>
    </row>
    <row r="2055" spans="1:2" x14ac:dyDescent="0.25">
      <c r="A2055" s="3">
        <v>2050</v>
      </c>
      <c r="B2055" s="3" t="str">
        <f>"00530442"</f>
        <v>00530442</v>
      </c>
    </row>
    <row r="2056" spans="1:2" x14ac:dyDescent="0.25">
      <c r="A2056" s="3">
        <v>2051</v>
      </c>
      <c r="B2056" s="3" t="str">
        <f>"00530452"</f>
        <v>00530452</v>
      </c>
    </row>
    <row r="2057" spans="1:2" x14ac:dyDescent="0.25">
      <c r="A2057" s="3">
        <v>2052</v>
      </c>
      <c r="B2057" s="3" t="str">
        <f>"00530463"</f>
        <v>00530463</v>
      </c>
    </row>
    <row r="2058" spans="1:2" x14ac:dyDescent="0.25">
      <c r="A2058" s="3">
        <v>2053</v>
      </c>
      <c r="B2058" s="3" t="str">
        <f>"00530469"</f>
        <v>00530469</v>
      </c>
    </row>
    <row r="2059" spans="1:2" x14ac:dyDescent="0.25">
      <c r="A2059" s="3">
        <v>2054</v>
      </c>
      <c r="B2059" s="3" t="str">
        <f>"00530484"</f>
        <v>00530484</v>
      </c>
    </row>
    <row r="2060" spans="1:2" x14ac:dyDescent="0.25">
      <c r="A2060" s="3">
        <v>2055</v>
      </c>
      <c r="B2060" s="3" t="str">
        <f>"00530509"</f>
        <v>00530509</v>
      </c>
    </row>
    <row r="2061" spans="1:2" x14ac:dyDescent="0.25">
      <c r="A2061" s="3">
        <v>2056</v>
      </c>
      <c r="B2061" s="3" t="str">
        <f>"00530510"</f>
        <v>00530510</v>
      </c>
    </row>
    <row r="2062" spans="1:2" x14ac:dyDescent="0.25">
      <c r="A2062" s="3">
        <v>2057</v>
      </c>
      <c r="B2062" s="3" t="str">
        <f>"00530530"</f>
        <v>00530530</v>
      </c>
    </row>
    <row r="2063" spans="1:2" x14ac:dyDescent="0.25">
      <c r="A2063" s="3">
        <v>2058</v>
      </c>
      <c r="B2063" s="3" t="str">
        <f>"00530545"</f>
        <v>00530545</v>
      </c>
    </row>
    <row r="2064" spans="1:2" x14ac:dyDescent="0.25">
      <c r="A2064" s="3">
        <v>2059</v>
      </c>
      <c r="B2064" s="3" t="str">
        <f>"00530558"</f>
        <v>00530558</v>
      </c>
    </row>
    <row r="2065" spans="1:2" x14ac:dyDescent="0.25">
      <c r="A2065" s="3">
        <v>2060</v>
      </c>
      <c r="B2065" s="3" t="str">
        <f>"00530604"</f>
        <v>00530604</v>
      </c>
    </row>
    <row r="2066" spans="1:2" x14ac:dyDescent="0.25">
      <c r="A2066" s="3">
        <v>2061</v>
      </c>
      <c r="B2066" s="3" t="str">
        <f>"00530644"</f>
        <v>00530644</v>
      </c>
    </row>
    <row r="2067" spans="1:2" x14ac:dyDescent="0.25">
      <c r="A2067" s="3">
        <v>2062</v>
      </c>
      <c r="B2067" s="3" t="str">
        <f>"00530724"</f>
        <v>00530724</v>
      </c>
    </row>
    <row r="2068" spans="1:2" x14ac:dyDescent="0.25">
      <c r="A2068" s="3">
        <v>2063</v>
      </c>
      <c r="B2068" s="3" t="str">
        <f>"00530746"</f>
        <v>00530746</v>
      </c>
    </row>
    <row r="2069" spans="1:2" x14ac:dyDescent="0.25">
      <c r="A2069" s="3">
        <v>2064</v>
      </c>
      <c r="B2069" s="3" t="str">
        <f>"00530755"</f>
        <v>00530755</v>
      </c>
    </row>
    <row r="2070" spans="1:2" x14ac:dyDescent="0.25">
      <c r="A2070" s="3">
        <v>2065</v>
      </c>
      <c r="B2070" s="3" t="str">
        <f>"00530821"</f>
        <v>00530821</v>
      </c>
    </row>
    <row r="2071" spans="1:2" x14ac:dyDescent="0.25">
      <c r="A2071" s="3">
        <v>2066</v>
      </c>
      <c r="B2071" s="3" t="str">
        <f>"00530843"</f>
        <v>00530843</v>
      </c>
    </row>
    <row r="2072" spans="1:2" x14ac:dyDescent="0.25">
      <c r="A2072" s="3">
        <v>2067</v>
      </c>
      <c r="B2072" s="3" t="str">
        <f>"00530851"</f>
        <v>00530851</v>
      </c>
    </row>
    <row r="2073" spans="1:2" x14ac:dyDescent="0.25">
      <c r="A2073" s="3">
        <v>2068</v>
      </c>
      <c r="B2073" s="3" t="str">
        <f>"00530907"</f>
        <v>00530907</v>
      </c>
    </row>
    <row r="2074" spans="1:2" x14ac:dyDescent="0.25">
      <c r="A2074" s="3">
        <v>2069</v>
      </c>
      <c r="B2074" s="3" t="str">
        <f>"00530911"</f>
        <v>00530911</v>
      </c>
    </row>
    <row r="2075" spans="1:2" x14ac:dyDescent="0.25">
      <c r="A2075" s="3">
        <v>2070</v>
      </c>
      <c r="B2075" s="3" t="str">
        <f>"00530949"</f>
        <v>00530949</v>
      </c>
    </row>
    <row r="2076" spans="1:2" x14ac:dyDescent="0.25">
      <c r="A2076" s="3">
        <v>2071</v>
      </c>
      <c r="B2076" s="3" t="str">
        <f>"00530956"</f>
        <v>00530956</v>
      </c>
    </row>
    <row r="2077" spans="1:2" x14ac:dyDescent="0.25">
      <c r="A2077" s="3">
        <v>2072</v>
      </c>
      <c r="B2077" s="3" t="str">
        <f>"00530980"</f>
        <v>00530980</v>
      </c>
    </row>
    <row r="2078" spans="1:2" x14ac:dyDescent="0.25">
      <c r="A2078" s="3">
        <v>2073</v>
      </c>
      <c r="B2078" s="3" t="str">
        <f>"00531058"</f>
        <v>00531058</v>
      </c>
    </row>
    <row r="2079" spans="1:2" x14ac:dyDescent="0.25">
      <c r="A2079" s="3">
        <v>2074</v>
      </c>
      <c r="B2079" s="3" t="str">
        <f>"00531059"</f>
        <v>00531059</v>
      </c>
    </row>
    <row r="2080" spans="1:2" x14ac:dyDescent="0.25">
      <c r="A2080" s="3">
        <v>2075</v>
      </c>
      <c r="B2080" s="3" t="str">
        <f>"00531160"</f>
        <v>00531160</v>
      </c>
    </row>
    <row r="2081" spans="1:2" x14ac:dyDescent="0.25">
      <c r="A2081" s="3">
        <v>2076</v>
      </c>
      <c r="B2081" s="3" t="str">
        <f>"00531214"</f>
        <v>00531214</v>
      </c>
    </row>
    <row r="2082" spans="1:2" x14ac:dyDescent="0.25">
      <c r="A2082" s="3">
        <v>2077</v>
      </c>
      <c r="B2082" s="3" t="str">
        <f>"00531215"</f>
        <v>00531215</v>
      </c>
    </row>
    <row r="2083" spans="1:2" x14ac:dyDescent="0.25">
      <c r="A2083" s="3">
        <v>2078</v>
      </c>
      <c r="B2083" s="3" t="str">
        <f>"00531261"</f>
        <v>00531261</v>
      </c>
    </row>
    <row r="2084" spans="1:2" x14ac:dyDescent="0.25">
      <c r="A2084" s="3">
        <v>2079</v>
      </c>
      <c r="B2084" s="3" t="str">
        <f>"00531270"</f>
        <v>00531270</v>
      </c>
    </row>
    <row r="2085" spans="1:2" x14ac:dyDescent="0.25">
      <c r="A2085" s="3">
        <v>2080</v>
      </c>
      <c r="B2085" s="3" t="str">
        <f>"00531285"</f>
        <v>00531285</v>
      </c>
    </row>
    <row r="2086" spans="1:2" x14ac:dyDescent="0.25">
      <c r="A2086" s="3">
        <v>2081</v>
      </c>
      <c r="B2086" s="3" t="str">
        <f>"00531307"</f>
        <v>00531307</v>
      </c>
    </row>
    <row r="2087" spans="1:2" x14ac:dyDescent="0.25">
      <c r="A2087" s="3">
        <v>2082</v>
      </c>
      <c r="B2087" s="3" t="str">
        <f>"00531311"</f>
        <v>00531311</v>
      </c>
    </row>
    <row r="2088" spans="1:2" x14ac:dyDescent="0.25">
      <c r="A2088" s="3">
        <v>2083</v>
      </c>
      <c r="B2088" s="3" t="str">
        <f>"00531323"</f>
        <v>00531323</v>
      </c>
    </row>
    <row r="2089" spans="1:2" x14ac:dyDescent="0.25">
      <c r="A2089" s="3">
        <v>2084</v>
      </c>
      <c r="B2089" s="3" t="str">
        <f>"00531360"</f>
        <v>00531360</v>
      </c>
    </row>
    <row r="2090" spans="1:2" x14ac:dyDescent="0.25">
      <c r="A2090" s="3">
        <v>2085</v>
      </c>
      <c r="B2090" s="3" t="str">
        <f>"00531436"</f>
        <v>00531436</v>
      </c>
    </row>
    <row r="2091" spans="1:2" x14ac:dyDescent="0.25">
      <c r="A2091" s="3">
        <v>2086</v>
      </c>
      <c r="B2091" s="3" t="str">
        <f>"00531440"</f>
        <v>00531440</v>
      </c>
    </row>
    <row r="2092" spans="1:2" x14ac:dyDescent="0.25">
      <c r="A2092" s="3">
        <v>2087</v>
      </c>
      <c r="B2092" s="3" t="str">
        <f>"00531456"</f>
        <v>00531456</v>
      </c>
    </row>
    <row r="2093" spans="1:2" x14ac:dyDescent="0.25">
      <c r="A2093" s="3">
        <v>2088</v>
      </c>
      <c r="B2093" s="3" t="str">
        <f>"00531501"</f>
        <v>00531501</v>
      </c>
    </row>
    <row r="2094" spans="1:2" x14ac:dyDescent="0.25">
      <c r="A2094" s="3">
        <v>2089</v>
      </c>
      <c r="B2094" s="3" t="str">
        <f>"00531710"</f>
        <v>00531710</v>
      </c>
    </row>
    <row r="2095" spans="1:2" x14ac:dyDescent="0.25">
      <c r="A2095" s="3">
        <v>2090</v>
      </c>
      <c r="B2095" s="3" t="str">
        <f>"00531727"</f>
        <v>00531727</v>
      </c>
    </row>
    <row r="2096" spans="1:2" x14ac:dyDescent="0.25">
      <c r="A2096" s="3">
        <v>2091</v>
      </c>
      <c r="B2096" s="3" t="str">
        <f>"00531741"</f>
        <v>00531741</v>
      </c>
    </row>
    <row r="2097" spans="1:2" x14ac:dyDescent="0.25">
      <c r="A2097" s="3">
        <v>2092</v>
      </c>
      <c r="B2097" s="3" t="str">
        <f>"00531773"</f>
        <v>00531773</v>
      </c>
    </row>
    <row r="2098" spans="1:2" x14ac:dyDescent="0.25">
      <c r="A2098" s="3">
        <v>2093</v>
      </c>
      <c r="B2098" s="3" t="str">
        <f>"00531783"</f>
        <v>00531783</v>
      </c>
    </row>
    <row r="2099" spans="1:2" x14ac:dyDescent="0.25">
      <c r="A2099" s="3">
        <v>2094</v>
      </c>
      <c r="B2099" s="3" t="str">
        <f>"00531834"</f>
        <v>00531834</v>
      </c>
    </row>
    <row r="2100" spans="1:2" x14ac:dyDescent="0.25">
      <c r="A2100" s="3">
        <v>2095</v>
      </c>
      <c r="B2100" s="3" t="str">
        <f>"00531860"</f>
        <v>00531860</v>
      </c>
    </row>
    <row r="2101" spans="1:2" x14ac:dyDescent="0.25">
      <c r="A2101" s="3">
        <v>2096</v>
      </c>
      <c r="B2101" s="3" t="str">
        <f>"00531867"</f>
        <v>00531867</v>
      </c>
    </row>
    <row r="2102" spans="1:2" x14ac:dyDescent="0.25">
      <c r="A2102" s="3">
        <v>2097</v>
      </c>
      <c r="B2102" s="3" t="str">
        <f>"00532001"</f>
        <v>00532001</v>
      </c>
    </row>
    <row r="2103" spans="1:2" x14ac:dyDescent="0.25">
      <c r="A2103" s="3">
        <v>2098</v>
      </c>
      <c r="B2103" s="3" t="str">
        <f>"00532015"</f>
        <v>00532015</v>
      </c>
    </row>
    <row r="2104" spans="1:2" x14ac:dyDescent="0.25">
      <c r="A2104" s="3">
        <v>2099</v>
      </c>
      <c r="B2104" s="3" t="str">
        <f>"00532031"</f>
        <v>00532031</v>
      </c>
    </row>
    <row r="2105" spans="1:2" x14ac:dyDescent="0.25">
      <c r="A2105" s="3">
        <v>2100</v>
      </c>
      <c r="B2105" s="3" t="str">
        <f>"00532040"</f>
        <v>00532040</v>
      </c>
    </row>
    <row r="2106" spans="1:2" x14ac:dyDescent="0.25">
      <c r="A2106" s="3">
        <v>2101</v>
      </c>
      <c r="B2106" s="3" t="str">
        <f>"00532042"</f>
        <v>00532042</v>
      </c>
    </row>
    <row r="2107" spans="1:2" x14ac:dyDescent="0.25">
      <c r="A2107" s="3">
        <v>2102</v>
      </c>
      <c r="B2107" s="3" t="str">
        <f>"00532101"</f>
        <v>00532101</v>
      </c>
    </row>
    <row r="2108" spans="1:2" x14ac:dyDescent="0.25">
      <c r="A2108" s="3">
        <v>2103</v>
      </c>
      <c r="B2108" s="3" t="str">
        <f>"00532104"</f>
        <v>00532104</v>
      </c>
    </row>
    <row r="2109" spans="1:2" x14ac:dyDescent="0.25">
      <c r="A2109" s="3">
        <v>2104</v>
      </c>
      <c r="B2109" s="3" t="str">
        <f>"00532122"</f>
        <v>00532122</v>
      </c>
    </row>
    <row r="2110" spans="1:2" x14ac:dyDescent="0.25">
      <c r="A2110" s="3">
        <v>2105</v>
      </c>
      <c r="B2110" s="3" t="str">
        <f>"00532173"</f>
        <v>00532173</v>
      </c>
    </row>
    <row r="2111" spans="1:2" x14ac:dyDescent="0.25">
      <c r="A2111" s="3">
        <v>2106</v>
      </c>
      <c r="B2111" s="3" t="str">
        <f>"00532261"</f>
        <v>00532261</v>
      </c>
    </row>
    <row r="2112" spans="1:2" x14ac:dyDescent="0.25">
      <c r="A2112" s="3">
        <v>2107</v>
      </c>
      <c r="B2112" s="3" t="str">
        <f>"00532297"</f>
        <v>00532297</v>
      </c>
    </row>
    <row r="2113" spans="1:2" x14ac:dyDescent="0.25">
      <c r="A2113" s="3">
        <v>2108</v>
      </c>
      <c r="B2113" s="3" t="str">
        <f>"00532388"</f>
        <v>00532388</v>
      </c>
    </row>
    <row r="2114" spans="1:2" x14ac:dyDescent="0.25">
      <c r="A2114" s="3">
        <v>2109</v>
      </c>
      <c r="B2114" s="3" t="str">
        <f>"00532439"</f>
        <v>00532439</v>
      </c>
    </row>
    <row r="2115" spans="1:2" x14ac:dyDescent="0.25">
      <c r="A2115" s="3">
        <v>2110</v>
      </c>
      <c r="B2115" s="3" t="str">
        <f>"00532449"</f>
        <v>00532449</v>
      </c>
    </row>
    <row r="2116" spans="1:2" x14ac:dyDescent="0.25">
      <c r="A2116" s="3">
        <v>2111</v>
      </c>
      <c r="B2116" s="3" t="str">
        <f>"00532467"</f>
        <v>00532467</v>
      </c>
    </row>
    <row r="2117" spans="1:2" x14ac:dyDescent="0.25">
      <c r="A2117" s="3">
        <v>2112</v>
      </c>
      <c r="B2117" s="3" t="str">
        <f>"00532496"</f>
        <v>00532496</v>
      </c>
    </row>
    <row r="2118" spans="1:2" x14ac:dyDescent="0.25">
      <c r="A2118" s="3">
        <v>2113</v>
      </c>
      <c r="B2118" s="3" t="str">
        <f>"00532534"</f>
        <v>00532534</v>
      </c>
    </row>
    <row r="2119" spans="1:2" x14ac:dyDescent="0.25">
      <c r="A2119" s="3">
        <v>2114</v>
      </c>
      <c r="B2119" s="3" t="str">
        <f>"00532584"</f>
        <v>00532584</v>
      </c>
    </row>
    <row r="2120" spans="1:2" x14ac:dyDescent="0.25">
      <c r="A2120" s="3">
        <v>2115</v>
      </c>
      <c r="B2120" s="3" t="str">
        <f>"00532710"</f>
        <v>00532710</v>
      </c>
    </row>
    <row r="2121" spans="1:2" x14ac:dyDescent="0.25">
      <c r="A2121" s="3">
        <v>2116</v>
      </c>
      <c r="B2121" s="3" t="str">
        <f>"00532799"</f>
        <v>00532799</v>
      </c>
    </row>
    <row r="2122" spans="1:2" x14ac:dyDescent="0.25">
      <c r="A2122" s="3">
        <v>2117</v>
      </c>
      <c r="B2122" s="3" t="str">
        <f>"00532841"</f>
        <v>00532841</v>
      </c>
    </row>
    <row r="2123" spans="1:2" x14ac:dyDescent="0.25">
      <c r="A2123" s="3">
        <v>2118</v>
      </c>
      <c r="B2123" s="3" t="str">
        <f>"00532897"</f>
        <v>00532897</v>
      </c>
    </row>
    <row r="2124" spans="1:2" x14ac:dyDescent="0.25">
      <c r="A2124" s="3">
        <v>2119</v>
      </c>
      <c r="B2124" s="3" t="str">
        <f>"00532916"</f>
        <v>00532916</v>
      </c>
    </row>
    <row r="2125" spans="1:2" x14ac:dyDescent="0.25">
      <c r="A2125" s="3">
        <v>2120</v>
      </c>
      <c r="B2125" s="3" t="str">
        <f>"00533020"</f>
        <v>00533020</v>
      </c>
    </row>
    <row r="2126" spans="1:2" x14ac:dyDescent="0.25">
      <c r="A2126" s="3">
        <v>2121</v>
      </c>
      <c r="B2126" s="3" t="str">
        <f>"00533029"</f>
        <v>00533029</v>
      </c>
    </row>
    <row r="2127" spans="1:2" x14ac:dyDescent="0.25">
      <c r="A2127" s="3">
        <v>2122</v>
      </c>
      <c r="B2127" s="3" t="str">
        <f>"00533072"</f>
        <v>00533072</v>
      </c>
    </row>
    <row r="2128" spans="1:2" x14ac:dyDescent="0.25">
      <c r="A2128" s="3">
        <v>2123</v>
      </c>
      <c r="B2128" s="3" t="str">
        <f>"00533267"</f>
        <v>00533267</v>
      </c>
    </row>
    <row r="2129" spans="1:2" x14ac:dyDescent="0.25">
      <c r="A2129" s="3">
        <v>2124</v>
      </c>
      <c r="B2129" s="3" t="str">
        <f>"00533326"</f>
        <v>00533326</v>
      </c>
    </row>
    <row r="2130" spans="1:2" x14ac:dyDescent="0.25">
      <c r="A2130" s="3">
        <v>2125</v>
      </c>
      <c r="B2130" s="3" t="str">
        <f>"00533354"</f>
        <v>00533354</v>
      </c>
    </row>
    <row r="2131" spans="1:2" x14ac:dyDescent="0.25">
      <c r="A2131" s="3">
        <v>2126</v>
      </c>
      <c r="B2131" s="3" t="str">
        <f>"00533361"</f>
        <v>00533361</v>
      </c>
    </row>
    <row r="2132" spans="1:2" x14ac:dyDescent="0.25">
      <c r="A2132" s="3">
        <v>2127</v>
      </c>
      <c r="B2132" s="3" t="str">
        <f>"00533375"</f>
        <v>00533375</v>
      </c>
    </row>
    <row r="2133" spans="1:2" x14ac:dyDescent="0.25">
      <c r="A2133" s="3">
        <v>2128</v>
      </c>
      <c r="B2133" s="3" t="str">
        <f>"00533419"</f>
        <v>00533419</v>
      </c>
    </row>
    <row r="2134" spans="1:2" x14ac:dyDescent="0.25">
      <c r="A2134" s="3">
        <v>2129</v>
      </c>
      <c r="B2134" s="3" t="str">
        <f>"00533487"</f>
        <v>00533487</v>
      </c>
    </row>
    <row r="2135" spans="1:2" x14ac:dyDescent="0.25">
      <c r="A2135" s="3">
        <v>2130</v>
      </c>
      <c r="B2135" s="3" t="str">
        <f>"00533542"</f>
        <v>00533542</v>
      </c>
    </row>
    <row r="2136" spans="1:2" x14ac:dyDescent="0.25">
      <c r="A2136" s="3">
        <v>2131</v>
      </c>
      <c r="B2136" s="3" t="str">
        <f>"00533599"</f>
        <v>00533599</v>
      </c>
    </row>
    <row r="2137" spans="1:2" x14ac:dyDescent="0.25">
      <c r="A2137" s="3">
        <v>2132</v>
      </c>
      <c r="B2137" s="3" t="str">
        <f>"00533699"</f>
        <v>00533699</v>
      </c>
    </row>
    <row r="2138" spans="1:2" x14ac:dyDescent="0.25">
      <c r="A2138" s="3">
        <v>2133</v>
      </c>
      <c r="B2138" s="3" t="str">
        <f>"00533708"</f>
        <v>00533708</v>
      </c>
    </row>
    <row r="2139" spans="1:2" x14ac:dyDescent="0.25">
      <c r="A2139" s="3">
        <v>2134</v>
      </c>
      <c r="B2139" s="3" t="str">
        <f>"00533735"</f>
        <v>00533735</v>
      </c>
    </row>
    <row r="2140" spans="1:2" x14ac:dyDescent="0.25">
      <c r="A2140" s="3">
        <v>2135</v>
      </c>
      <c r="B2140" s="3" t="str">
        <f>"00533744"</f>
        <v>00533744</v>
      </c>
    </row>
    <row r="2141" spans="1:2" x14ac:dyDescent="0.25">
      <c r="A2141" s="3">
        <v>2136</v>
      </c>
      <c r="B2141" s="3" t="str">
        <f>"00533794"</f>
        <v>00533794</v>
      </c>
    </row>
    <row r="2142" spans="1:2" x14ac:dyDescent="0.25">
      <c r="A2142" s="3">
        <v>2137</v>
      </c>
      <c r="B2142" s="3" t="str">
        <f>"00533893"</f>
        <v>00533893</v>
      </c>
    </row>
    <row r="2143" spans="1:2" x14ac:dyDescent="0.25">
      <c r="A2143" s="3">
        <v>2138</v>
      </c>
      <c r="B2143" s="3" t="str">
        <f>"00533896"</f>
        <v>00533896</v>
      </c>
    </row>
    <row r="2144" spans="1:2" x14ac:dyDescent="0.25">
      <c r="A2144" s="3">
        <v>2139</v>
      </c>
      <c r="B2144" s="3" t="str">
        <f>"00533920"</f>
        <v>00533920</v>
      </c>
    </row>
    <row r="2145" spans="1:2" x14ac:dyDescent="0.25">
      <c r="A2145" s="3">
        <v>2140</v>
      </c>
      <c r="B2145" s="3" t="str">
        <f>"00534143"</f>
        <v>00534143</v>
      </c>
    </row>
    <row r="2146" spans="1:2" x14ac:dyDescent="0.25">
      <c r="A2146" s="3">
        <v>2141</v>
      </c>
      <c r="B2146" s="3" t="str">
        <f>"00534240"</f>
        <v>00534240</v>
      </c>
    </row>
    <row r="2147" spans="1:2" x14ac:dyDescent="0.25">
      <c r="A2147" s="3">
        <v>2142</v>
      </c>
      <c r="B2147" s="3" t="str">
        <f>"00534370"</f>
        <v>00534370</v>
      </c>
    </row>
    <row r="2148" spans="1:2" x14ac:dyDescent="0.25">
      <c r="A2148" s="3">
        <v>2143</v>
      </c>
      <c r="B2148" s="3" t="str">
        <f>"00534481"</f>
        <v>00534481</v>
      </c>
    </row>
    <row r="2149" spans="1:2" x14ac:dyDescent="0.25">
      <c r="A2149" s="3">
        <v>2144</v>
      </c>
      <c r="B2149" s="3" t="str">
        <f>"00534520"</f>
        <v>00534520</v>
      </c>
    </row>
    <row r="2150" spans="1:2" x14ac:dyDescent="0.25">
      <c r="A2150" s="3">
        <v>2145</v>
      </c>
      <c r="B2150" s="3" t="str">
        <f>"00535467"</f>
        <v>00535467</v>
      </c>
    </row>
    <row r="2151" spans="1:2" x14ac:dyDescent="0.25">
      <c r="A2151" s="3">
        <v>2146</v>
      </c>
      <c r="B2151" s="3" t="str">
        <f>"00537342"</f>
        <v>00537342</v>
      </c>
    </row>
    <row r="2152" spans="1:2" x14ac:dyDescent="0.25">
      <c r="A2152" s="3">
        <v>2147</v>
      </c>
      <c r="B2152" s="3" t="str">
        <f>"00538280"</f>
        <v>00538280</v>
      </c>
    </row>
    <row r="2153" spans="1:2" x14ac:dyDescent="0.25">
      <c r="A2153" s="3">
        <v>2148</v>
      </c>
      <c r="B2153" s="3" t="str">
        <f>"00538849"</f>
        <v>00538849</v>
      </c>
    </row>
    <row r="2154" spans="1:2" x14ac:dyDescent="0.25">
      <c r="A2154" s="3">
        <v>2149</v>
      </c>
      <c r="B2154" s="3" t="str">
        <f>"00538992"</f>
        <v>00538992</v>
      </c>
    </row>
    <row r="2155" spans="1:2" x14ac:dyDescent="0.25">
      <c r="A2155" s="3">
        <v>2150</v>
      </c>
      <c r="B2155" s="3" t="str">
        <f>"00539090"</f>
        <v>00539090</v>
      </c>
    </row>
    <row r="2156" spans="1:2" x14ac:dyDescent="0.25">
      <c r="A2156" s="3">
        <v>2151</v>
      </c>
      <c r="B2156" s="3" t="str">
        <f>"00539806"</f>
        <v>00539806</v>
      </c>
    </row>
    <row r="2157" spans="1:2" x14ac:dyDescent="0.25">
      <c r="A2157" s="3">
        <v>2152</v>
      </c>
      <c r="B2157" s="3" t="str">
        <f>"00540047"</f>
        <v>00540047</v>
      </c>
    </row>
    <row r="2158" spans="1:2" x14ac:dyDescent="0.25">
      <c r="A2158" s="3">
        <v>2153</v>
      </c>
      <c r="B2158" s="3" t="str">
        <f>"00540255"</f>
        <v>00540255</v>
      </c>
    </row>
    <row r="2159" spans="1:2" x14ac:dyDescent="0.25">
      <c r="A2159" s="3">
        <v>2154</v>
      </c>
      <c r="B2159" s="3" t="str">
        <f>"00541137"</f>
        <v>00541137</v>
      </c>
    </row>
    <row r="2160" spans="1:2" x14ac:dyDescent="0.25">
      <c r="A2160" s="3">
        <v>2155</v>
      </c>
      <c r="B2160" s="3" t="str">
        <f>"00541155"</f>
        <v>00541155</v>
      </c>
    </row>
    <row r="2161" spans="1:2" x14ac:dyDescent="0.25">
      <c r="A2161" s="3">
        <v>2156</v>
      </c>
      <c r="B2161" s="3" t="str">
        <f>"00541341"</f>
        <v>00541341</v>
      </c>
    </row>
    <row r="2162" spans="1:2" x14ac:dyDescent="0.25">
      <c r="A2162" s="3">
        <v>2157</v>
      </c>
      <c r="B2162" s="3" t="str">
        <f>"00541495"</f>
        <v>00541495</v>
      </c>
    </row>
    <row r="2163" spans="1:2" x14ac:dyDescent="0.25">
      <c r="A2163" s="3">
        <v>2158</v>
      </c>
      <c r="B2163" s="3" t="str">
        <f>"00541590"</f>
        <v>00541590</v>
      </c>
    </row>
    <row r="2164" spans="1:2" x14ac:dyDescent="0.25">
      <c r="A2164" s="3">
        <v>2159</v>
      </c>
      <c r="B2164" s="3" t="str">
        <f>"00541673"</f>
        <v>00541673</v>
      </c>
    </row>
    <row r="2165" spans="1:2" x14ac:dyDescent="0.25">
      <c r="A2165" s="3">
        <v>2160</v>
      </c>
      <c r="B2165" s="3" t="str">
        <f>"00541862"</f>
        <v>00541862</v>
      </c>
    </row>
    <row r="2166" spans="1:2" x14ac:dyDescent="0.25">
      <c r="A2166" s="3">
        <v>2161</v>
      </c>
      <c r="B2166" s="3" t="str">
        <f>"00541883"</f>
        <v>00541883</v>
      </c>
    </row>
    <row r="2167" spans="1:2" x14ac:dyDescent="0.25">
      <c r="A2167" s="3">
        <v>2162</v>
      </c>
      <c r="B2167" s="3" t="str">
        <f>"00542117"</f>
        <v>00542117</v>
      </c>
    </row>
    <row r="2168" spans="1:2" x14ac:dyDescent="0.25">
      <c r="A2168" s="3">
        <v>2163</v>
      </c>
      <c r="B2168" s="3" t="str">
        <f>"00542271"</f>
        <v>00542271</v>
      </c>
    </row>
    <row r="2169" spans="1:2" x14ac:dyDescent="0.25">
      <c r="A2169" s="3">
        <v>2164</v>
      </c>
      <c r="B2169" s="3" t="str">
        <f>"00542451"</f>
        <v>00542451</v>
      </c>
    </row>
    <row r="2170" spans="1:2" x14ac:dyDescent="0.25">
      <c r="A2170" s="3">
        <v>2165</v>
      </c>
      <c r="B2170" s="3" t="str">
        <f>"00542664"</f>
        <v>00542664</v>
      </c>
    </row>
    <row r="2171" spans="1:2" x14ac:dyDescent="0.25">
      <c r="A2171" s="3">
        <v>2166</v>
      </c>
      <c r="B2171" s="3" t="str">
        <f>"00542885"</f>
        <v>00542885</v>
      </c>
    </row>
    <row r="2172" spans="1:2" x14ac:dyDescent="0.25">
      <c r="A2172" s="3">
        <v>2167</v>
      </c>
      <c r="B2172" s="3" t="str">
        <f>"00542961"</f>
        <v>00542961</v>
      </c>
    </row>
    <row r="2173" spans="1:2" x14ac:dyDescent="0.25">
      <c r="A2173" s="3">
        <v>2168</v>
      </c>
      <c r="B2173" s="3" t="str">
        <f>"00543284"</f>
        <v>00543284</v>
      </c>
    </row>
    <row r="2174" spans="1:2" x14ac:dyDescent="0.25">
      <c r="A2174" s="3">
        <v>2169</v>
      </c>
      <c r="B2174" s="3" t="str">
        <f>"00543648"</f>
        <v>00543648</v>
      </c>
    </row>
    <row r="2175" spans="1:2" x14ac:dyDescent="0.25">
      <c r="A2175" s="3">
        <v>2170</v>
      </c>
      <c r="B2175" s="3" t="str">
        <f>"00543684"</f>
        <v>00543684</v>
      </c>
    </row>
    <row r="2176" spans="1:2" x14ac:dyDescent="0.25">
      <c r="A2176" s="3">
        <v>2171</v>
      </c>
      <c r="B2176" s="3" t="str">
        <f>"00543898"</f>
        <v>00543898</v>
      </c>
    </row>
    <row r="2177" spans="1:2" x14ac:dyDescent="0.25">
      <c r="A2177" s="3">
        <v>2172</v>
      </c>
      <c r="B2177" s="3" t="str">
        <f>"00544004"</f>
        <v>00544004</v>
      </c>
    </row>
    <row r="2178" spans="1:2" x14ac:dyDescent="0.25">
      <c r="A2178" s="3">
        <v>2173</v>
      </c>
      <c r="B2178" s="3" t="str">
        <f>"00544319"</f>
        <v>00544319</v>
      </c>
    </row>
    <row r="2179" spans="1:2" x14ac:dyDescent="0.25">
      <c r="A2179" s="3">
        <v>2174</v>
      </c>
      <c r="B2179" s="3" t="str">
        <f>"00544620"</f>
        <v>00544620</v>
      </c>
    </row>
    <row r="2180" spans="1:2" x14ac:dyDescent="0.25">
      <c r="A2180" s="3">
        <v>2175</v>
      </c>
      <c r="B2180" s="3" t="str">
        <f>"00544890"</f>
        <v>00544890</v>
      </c>
    </row>
    <row r="2181" spans="1:2" x14ac:dyDescent="0.25">
      <c r="A2181" s="3">
        <v>2176</v>
      </c>
      <c r="B2181" s="3" t="str">
        <f>"00544920"</f>
        <v>00544920</v>
      </c>
    </row>
    <row r="2182" spans="1:2" x14ac:dyDescent="0.25">
      <c r="A2182" s="3">
        <v>2177</v>
      </c>
      <c r="B2182" s="3" t="str">
        <f>"00545119"</f>
        <v>00545119</v>
      </c>
    </row>
    <row r="2183" spans="1:2" x14ac:dyDescent="0.25">
      <c r="A2183" s="3">
        <v>2178</v>
      </c>
      <c r="B2183" s="3" t="str">
        <f>"00545137"</f>
        <v>00545137</v>
      </c>
    </row>
    <row r="2184" spans="1:2" x14ac:dyDescent="0.25">
      <c r="A2184" s="3">
        <v>2179</v>
      </c>
      <c r="B2184" s="3" t="str">
        <f>"00545269"</f>
        <v>00545269</v>
      </c>
    </row>
    <row r="2185" spans="1:2" x14ac:dyDescent="0.25">
      <c r="A2185" s="3">
        <v>2180</v>
      </c>
      <c r="B2185" s="3" t="str">
        <f>"00545293"</f>
        <v>00545293</v>
      </c>
    </row>
    <row r="2186" spans="1:2" x14ac:dyDescent="0.25">
      <c r="A2186" s="3">
        <v>2181</v>
      </c>
      <c r="B2186" s="3" t="str">
        <f>"00545369"</f>
        <v>00545369</v>
      </c>
    </row>
    <row r="2187" spans="1:2" x14ac:dyDescent="0.25">
      <c r="A2187" s="3">
        <v>2182</v>
      </c>
      <c r="B2187" s="3" t="str">
        <f>"00545400"</f>
        <v>00545400</v>
      </c>
    </row>
    <row r="2188" spans="1:2" x14ac:dyDescent="0.25">
      <c r="A2188" s="3">
        <v>2183</v>
      </c>
      <c r="B2188" s="3" t="str">
        <f>"00545794"</f>
        <v>00545794</v>
      </c>
    </row>
    <row r="2189" spans="1:2" x14ac:dyDescent="0.25">
      <c r="A2189" s="3">
        <v>2184</v>
      </c>
      <c r="B2189" s="3" t="str">
        <f>"00545809"</f>
        <v>00545809</v>
      </c>
    </row>
    <row r="2190" spans="1:2" x14ac:dyDescent="0.25">
      <c r="A2190" s="3">
        <v>2185</v>
      </c>
      <c r="B2190" s="3" t="str">
        <f>"00545814"</f>
        <v>00545814</v>
      </c>
    </row>
    <row r="2191" spans="1:2" x14ac:dyDescent="0.25">
      <c r="A2191" s="3">
        <v>2186</v>
      </c>
      <c r="B2191" s="3" t="str">
        <f>"00545893"</f>
        <v>00545893</v>
      </c>
    </row>
    <row r="2192" spans="1:2" x14ac:dyDescent="0.25">
      <c r="A2192" s="3">
        <v>2187</v>
      </c>
      <c r="B2192" s="3" t="str">
        <f>"00546085"</f>
        <v>00546085</v>
      </c>
    </row>
    <row r="2193" spans="1:2" x14ac:dyDescent="0.25">
      <c r="A2193" s="3">
        <v>2188</v>
      </c>
      <c r="B2193" s="3" t="str">
        <f>"00546177"</f>
        <v>00546177</v>
      </c>
    </row>
    <row r="2194" spans="1:2" x14ac:dyDescent="0.25">
      <c r="A2194" s="3">
        <v>2189</v>
      </c>
      <c r="B2194" s="3" t="str">
        <f>"00546249"</f>
        <v>00546249</v>
      </c>
    </row>
    <row r="2195" spans="1:2" x14ac:dyDescent="0.25">
      <c r="A2195" s="3">
        <v>2190</v>
      </c>
      <c r="B2195" s="3" t="str">
        <f>"00546395"</f>
        <v>00546395</v>
      </c>
    </row>
    <row r="2196" spans="1:2" x14ac:dyDescent="0.25">
      <c r="A2196" s="3">
        <v>2191</v>
      </c>
      <c r="B2196" s="3" t="str">
        <f>"00546400"</f>
        <v>00546400</v>
      </c>
    </row>
    <row r="2197" spans="1:2" x14ac:dyDescent="0.25">
      <c r="A2197" s="3">
        <v>2192</v>
      </c>
      <c r="B2197" s="3" t="str">
        <f>"00546478"</f>
        <v>00546478</v>
      </c>
    </row>
    <row r="2198" spans="1:2" x14ac:dyDescent="0.25">
      <c r="A2198" s="3">
        <v>2193</v>
      </c>
      <c r="B2198" s="3" t="str">
        <f>"00546681"</f>
        <v>00546681</v>
      </c>
    </row>
    <row r="2199" spans="1:2" x14ac:dyDescent="0.25">
      <c r="A2199" s="3">
        <v>2194</v>
      </c>
      <c r="B2199" s="3" t="str">
        <f>"00546913"</f>
        <v>00546913</v>
      </c>
    </row>
    <row r="2200" spans="1:2" x14ac:dyDescent="0.25">
      <c r="A2200" s="3">
        <v>2195</v>
      </c>
      <c r="B2200" s="3" t="str">
        <f>"00547363"</f>
        <v>00547363</v>
      </c>
    </row>
    <row r="2201" spans="1:2" x14ac:dyDescent="0.25">
      <c r="A2201" s="3">
        <v>2196</v>
      </c>
      <c r="B2201" s="3" t="str">
        <f>"00547863"</f>
        <v>00547863</v>
      </c>
    </row>
    <row r="2202" spans="1:2" x14ac:dyDescent="0.25">
      <c r="A2202" s="3">
        <v>2197</v>
      </c>
      <c r="B2202" s="3" t="str">
        <f>"00549367"</f>
        <v>00549367</v>
      </c>
    </row>
    <row r="2203" spans="1:2" x14ac:dyDescent="0.25">
      <c r="A2203" s="3">
        <v>2198</v>
      </c>
      <c r="B2203" s="3" t="str">
        <f>"00550118"</f>
        <v>00550118</v>
      </c>
    </row>
    <row r="2204" spans="1:2" x14ac:dyDescent="0.25">
      <c r="A2204" s="3">
        <v>2199</v>
      </c>
      <c r="B2204" s="3" t="str">
        <f>"00550283"</f>
        <v>00550283</v>
      </c>
    </row>
    <row r="2205" spans="1:2" x14ac:dyDescent="0.25">
      <c r="A2205" s="3">
        <v>2200</v>
      </c>
      <c r="B2205" s="3" t="str">
        <f>"00550343"</f>
        <v>00550343</v>
      </c>
    </row>
    <row r="2206" spans="1:2" x14ac:dyDescent="0.25">
      <c r="A2206" s="3">
        <v>2201</v>
      </c>
      <c r="B2206" s="3" t="str">
        <f>"00550802"</f>
        <v>00550802</v>
      </c>
    </row>
    <row r="2207" spans="1:2" x14ac:dyDescent="0.25">
      <c r="A2207" s="3">
        <v>2202</v>
      </c>
      <c r="B2207" s="3" t="str">
        <f>"00551017"</f>
        <v>00551017</v>
      </c>
    </row>
    <row r="2208" spans="1:2" x14ac:dyDescent="0.25">
      <c r="A2208" s="3">
        <v>2203</v>
      </c>
      <c r="B2208" s="3" t="str">
        <f>"00551285"</f>
        <v>00551285</v>
      </c>
    </row>
    <row r="2209" spans="1:2" x14ac:dyDescent="0.25">
      <c r="A2209" s="3">
        <v>2204</v>
      </c>
      <c r="B2209" s="3" t="str">
        <f>"00551476"</f>
        <v>00551476</v>
      </c>
    </row>
    <row r="2210" spans="1:2" x14ac:dyDescent="0.25">
      <c r="A2210" s="3">
        <v>2205</v>
      </c>
      <c r="B2210" s="3" t="str">
        <f>"00551614"</f>
        <v>00551614</v>
      </c>
    </row>
    <row r="2211" spans="1:2" x14ac:dyDescent="0.25">
      <c r="A2211" s="3">
        <v>2206</v>
      </c>
      <c r="B2211" s="3" t="str">
        <f>"00552226"</f>
        <v>00552226</v>
      </c>
    </row>
    <row r="2212" spans="1:2" x14ac:dyDescent="0.25">
      <c r="A2212" s="3">
        <v>2207</v>
      </c>
      <c r="B2212" s="3" t="str">
        <f>"00552350"</f>
        <v>00552350</v>
      </c>
    </row>
    <row r="2213" spans="1:2" x14ac:dyDescent="0.25">
      <c r="A2213" s="3">
        <v>2208</v>
      </c>
      <c r="B2213" s="3" t="str">
        <f>"00552448"</f>
        <v>00552448</v>
      </c>
    </row>
    <row r="2214" spans="1:2" x14ac:dyDescent="0.25">
      <c r="A2214" s="3">
        <v>2209</v>
      </c>
      <c r="B2214" s="3" t="str">
        <f>"00552452"</f>
        <v>00552452</v>
      </c>
    </row>
    <row r="2215" spans="1:2" x14ac:dyDescent="0.25">
      <c r="A2215" s="3">
        <v>2210</v>
      </c>
      <c r="B2215" s="3" t="str">
        <f>"00552723"</f>
        <v>00552723</v>
      </c>
    </row>
    <row r="2216" spans="1:2" x14ac:dyDescent="0.25">
      <c r="A2216" s="3">
        <v>2211</v>
      </c>
      <c r="B2216" s="3" t="str">
        <f>"00552753"</f>
        <v>00552753</v>
      </c>
    </row>
    <row r="2217" spans="1:2" x14ac:dyDescent="0.25">
      <c r="A2217" s="3">
        <v>2212</v>
      </c>
      <c r="B2217" s="3" t="str">
        <f>"00552805"</f>
        <v>00552805</v>
      </c>
    </row>
    <row r="2218" spans="1:2" x14ac:dyDescent="0.25">
      <c r="A2218" s="3">
        <v>2213</v>
      </c>
      <c r="B2218" s="3" t="str">
        <f>"00553140"</f>
        <v>00553140</v>
      </c>
    </row>
    <row r="2219" spans="1:2" x14ac:dyDescent="0.25">
      <c r="A2219" s="3">
        <v>2214</v>
      </c>
      <c r="B2219" s="3" t="str">
        <f>"00553335"</f>
        <v>00553335</v>
      </c>
    </row>
    <row r="2220" spans="1:2" x14ac:dyDescent="0.25">
      <c r="A2220" s="3">
        <v>2215</v>
      </c>
      <c r="B2220" s="3" t="str">
        <f>"00553369"</f>
        <v>00553369</v>
      </c>
    </row>
    <row r="2221" spans="1:2" x14ac:dyDescent="0.25">
      <c r="A2221" s="3">
        <v>2216</v>
      </c>
      <c r="B2221" s="3" t="str">
        <f>"00553441"</f>
        <v>00553441</v>
      </c>
    </row>
    <row r="2222" spans="1:2" x14ac:dyDescent="0.25">
      <c r="A2222" s="3">
        <v>2217</v>
      </c>
      <c r="B2222" s="3" t="str">
        <f>"00553447"</f>
        <v>00553447</v>
      </c>
    </row>
    <row r="2223" spans="1:2" x14ac:dyDescent="0.25">
      <c r="A2223" s="3">
        <v>2218</v>
      </c>
      <c r="B2223" s="3" t="str">
        <f>"00553470"</f>
        <v>00553470</v>
      </c>
    </row>
    <row r="2224" spans="1:2" x14ac:dyDescent="0.25">
      <c r="A2224" s="3">
        <v>2219</v>
      </c>
      <c r="B2224" s="3" t="str">
        <f>"00553513"</f>
        <v>00553513</v>
      </c>
    </row>
    <row r="2225" spans="1:2" x14ac:dyDescent="0.25">
      <c r="A2225" s="3">
        <v>2220</v>
      </c>
      <c r="B2225" s="3" t="str">
        <f>"00553652"</f>
        <v>00553652</v>
      </c>
    </row>
    <row r="2226" spans="1:2" x14ac:dyDescent="0.25">
      <c r="A2226" s="3">
        <v>2221</v>
      </c>
      <c r="B2226" s="3" t="str">
        <f>"00553922"</f>
        <v>00553922</v>
      </c>
    </row>
    <row r="2227" spans="1:2" x14ac:dyDescent="0.25">
      <c r="A2227" s="3">
        <v>2222</v>
      </c>
      <c r="B2227" s="3" t="str">
        <f>"00553928"</f>
        <v>00553928</v>
      </c>
    </row>
    <row r="2228" spans="1:2" x14ac:dyDescent="0.25">
      <c r="A2228" s="3">
        <v>2223</v>
      </c>
      <c r="B2228" s="3" t="str">
        <f>"00554077"</f>
        <v>00554077</v>
      </c>
    </row>
    <row r="2229" spans="1:2" x14ac:dyDescent="0.25">
      <c r="A2229" s="3">
        <v>2224</v>
      </c>
      <c r="B2229" s="3" t="str">
        <f>"00554149"</f>
        <v>00554149</v>
      </c>
    </row>
    <row r="2230" spans="1:2" x14ac:dyDescent="0.25">
      <c r="A2230" s="3">
        <v>2225</v>
      </c>
      <c r="B2230" s="3" t="str">
        <f>"00554154"</f>
        <v>00554154</v>
      </c>
    </row>
    <row r="2231" spans="1:2" x14ac:dyDescent="0.25">
      <c r="A2231" s="3">
        <v>2226</v>
      </c>
      <c r="B2231" s="3" t="str">
        <f>"00554202"</f>
        <v>00554202</v>
      </c>
    </row>
    <row r="2232" spans="1:2" x14ac:dyDescent="0.25">
      <c r="A2232" s="3">
        <v>2227</v>
      </c>
      <c r="B2232" s="3" t="str">
        <f>"00554252"</f>
        <v>00554252</v>
      </c>
    </row>
    <row r="2233" spans="1:2" x14ac:dyDescent="0.25">
      <c r="A2233" s="3">
        <v>2228</v>
      </c>
      <c r="B2233" s="3" t="str">
        <f>"00554282"</f>
        <v>00554282</v>
      </c>
    </row>
    <row r="2234" spans="1:2" x14ac:dyDescent="0.25">
      <c r="A2234" s="3">
        <v>2229</v>
      </c>
      <c r="B2234" s="3" t="str">
        <f>"00554303"</f>
        <v>00554303</v>
      </c>
    </row>
    <row r="2235" spans="1:2" x14ac:dyDescent="0.25">
      <c r="A2235" s="3">
        <v>2230</v>
      </c>
      <c r="B2235" s="3" t="str">
        <f>"00554319"</f>
        <v>00554319</v>
      </c>
    </row>
    <row r="2236" spans="1:2" x14ac:dyDescent="0.25">
      <c r="A2236" s="3">
        <v>2231</v>
      </c>
      <c r="B2236" s="3" t="str">
        <f>"00554343"</f>
        <v>00554343</v>
      </c>
    </row>
    <row r="2237" spans="1:2" x14ac:dyDescent="0.25">
      <c r="A2237" s="3">
        <v>2232</v>
      </c>
      <c r="B2237" s="3" t="str">
        <f>"00554373"</f>
        <v>00554373</v>
      </c>
    </row>
    <row r="2238" spans="1:2" x14ac:dyDescent="0.25">
      <c r="A2238" s="3">
        <v>2233</v>
      </c>
      <c r="B2238" s="3" t="str">
        <f>"00554470"</f>
        <v>00554470</v>
      </c>
    </row>
    <row r="2239" spans="1:2" x14ac:dyDescent="0.25">
      <c r="A2239" s="3">
        <v>2234</v>
      </c>
      <c r="B2239" s="3" t="str">
        <f>"00554555"</f>
        <v>00554555</v>
      </c>
    </row>
    <row r="2240" spans="1:2" x14ac:dyDescent="0.25">
      <c r="A2240" s="3">
        <v>2235</v>
      </c>
      <c r="B2240" s="3" t="str">
        <f>"00554739"</f>
        <v>00554739</v>
      </c>
    </row>
    <row r="2241" spans="1:2" x14ac:dyDescent="0.25">
      <c r="A2241" s="3">
        <v>2236</v>
      </c>
      <c r="B2241" s="3" t="str">
        <f>"00554760"</f>
        <v>00554760</v>
      </c>
    </row>
    <row r="2242" spans="1:2" x14ac:dyDescent="0.25">
      <c r="A2242" s="3">
        <v>2237</v>
      </c>
      <c r="B2242" s="3" t="str">
        <f>"00554854"</f>
        <v>00554854</v>
      </c>
    </row>
    <row r="2243" spans="1:2" x14ac:dyDescent="0.25">
      <c r="A2243" s="3">
        <v>2238</v>
      </c>
      <c r="B2243" s="3" t="str">
        <f>"00554855"</f>
        <v>00554855</v>
      </c>
    </row>
    <row r="2244" spans="1:2" x14ac:dyDescent="0.25">
      <c r="A2244" s="3">
        <v>2239</v>
      </c>
      <c r="B2244" s="3" t="str">
        <f>"00554904"</f>
        <v>00554904</v>
      </c>
    </row>
    <row r="2245" spans="1:2" x14ac:dyDescent="0.25">
      <c r="A2245" s="3">
        <v>2240</v>
      </c>
      <c r="B2245" s="3" t="str">
        <f>"00554933"</f>
        <v>00554933</v>
      </c>
    </row>
    <row r="2246" spans="1:2" x14ac:dyDescent="0.25">
      <c r="A2246" s="3">
        <v>2241</v>
      </c>
      <c r="B2246" s="3" t="str">
        <f>"00555006"</f>
        <v>00555006</v>
      </c>
    </row>
    <row r="2247" spans="1:2" x14ac:dyDescent="0.25">
      <c r="A2247" s="3">
        <v>2242</v>
      </c>
      <c r="B2247" s="3" t="str">
        <f>"00555035"</f>
        <v>00555035</v>
      </c>
    </row>
    <row r="2248" spans="1:2" x14ac:dyDescent="0.25">
      <c r="A2248" s="3">
        <v>2243</v>
      </c>
      <c r="B2248" s="3" t="str">
        <f>"00555159"</f>
        <v>00555159</v>
      </c>
    </row>
    <row r="2249" spans="1:2" x14ac:dyDescent="0.25">
      <c r="A2249" s="3">
        <v>2244</v>
      </c>
      <c r="B2249" s="3" t="str">
        <f>"00555182"</f>
        <v>00555182</v>
      </c>
    </row>
    <row r="2250" spans="1:2" x14ac:dyDescent="0.25">
      <c r="A2250" s="3">
        <v>2245</v>
      </c>
      <c r="B2250" s="3" t="str">
        <f>"00555225"</f>
        <v>00555225</v>
      </c>
    </row>
    <row r="2251" spans="1:2" x14ac:dyDescent="0.25">
      <c r="A2251" s="3">
        <v>2246</v>
      </c>
      <c r="B2251" s="3" t="str">
        <f>"00555273"</f>
        <v>00555273</v>
      </c>
    </row>
    <row r="2252" spans="1:2" x14ac:dyDescent="0.25">
      <c r="A2252" s="3">
        <v>2247</v>
      </c>
      <c r="B2252" s="3" t="str">
        <f>"00555328"</f>
        <v>00555328</v>
      </c>
    </row>
    <row r="2253" spans="1:2" x14ac:dyDescent="0.25">
      <c r="A2253" s="3">
        <v>2248</v>
      </c>
      <c r="B2253" s="3" t="str">
        <f>"00555336"</f>
        <v>00555336</v>
      </c>
    </row>
    <row r="2254" spans="1:2" x14ac:dyDescent="0.25">
      <c r="A2254" s="3">
        <v>2249</v>
      </c>
      <c r="B2254" s="3" t="str">
        <f>"00555368"</f>
        <v>00555368</v>
      </c>
    </row>
    <row r="2255" spans="1:2" x14ac:dyDescent="0.25">
      <c r="A2255" s="3">
        <v>2250</v>
      </c>
      <c r="B2255" s="3" t="str">
        <f>"00555410"</f>
        <v>00555410</v>
      </c>
    </row>
    <row r="2256" spans="1:2" x14ac:dyDescent="0.25">
      <c r="A2256" s="3">
        <v>2251</v>
      </c>
      <c r="B2256" s="3" t="str">
        <f>"00555464"</f>
        <v>00555464</v>
      </c>
    </row>
    <row r="2257" spans="1:2" x14ac:dyDescent="0.25">
      <c r="A2257" s="3">
        <v>2252</v>
      </c>
      <c r="B2257" s="3" t="str">
        <f>"00555507"</f>
        <v>00555507</v>
      </c>
    </row>
    <row r="2258" spans="1:2" x14ac:dyDescent="0.25">
      <c r="A2258" s="3">
        <v>2253</v>
      </c>
      <c r="B2258" s="3" t="str">
        <f>"00555603"</f>
        <v>00555603</v>
      </c>
    </row>
    <row r="2259" spans="1:2" x14ac:dyDescent="0.25">
      <c r="A2259" s="3">
        <v>2254</v>
      </c>
      <c r="B2259" s="3" t="str">
        <f>"00555704"</f>
        <v>00555704</v>
      </c>
    </row>
    <row r="2260" spans="1:2" x14ac:dyDescent="0.25">
      <c r="A2260" s="3">
        <v>2255</v>
      </c>
      <c r="B2260" s="3" t="str">
        <f>"00555870"</f>
        <v>00555870</v>
      </c>
    </row>
    <row r="2261" spans="1:2" x14ac:dyDescent="0.25">
      <c r="A2261" s="3">
        <v>2256</v>
      </c>
      <c r="B2261" s="3" t="str">
        <f>"00555977"</f>
        <v>00555977</v>
      </c>
    </row>
    <row r="2262" spans="1:2" x14ac:dyDescent="0.25">
      <c r="A2262" s="3">
        <v>2257</v>
      </c>
      <c r="B2262" s="3" t="str">
        <f>"00556291"</f>
        <v>00556291</v>
      </c>
    </row>
    <row r="2263" spans="1:2" x14ac:dyDescent="0.25">
      <c r="A2263" s="3">
        <v>2258</v>
      </c>
      <c r="B2263" s="3" t="str">
        <f>"00556331"</f>
        <v>00556331</v>
      </c>
    </row>
    <row r="2264" spans="1:2" x14ac:dyDescent="0.25">
      <c r="A2264" s="3">
        <v>2259</v>
      </c>
      <c r="B2264" s="3" t="str">
        <f>"00556360"</f>
        <v>00556360</v>
      </c>
    </row>
    <row r="2265" spans="1:2" x14ac:dyDescent="0.25">
      <c r="A2265" s="3">
        <v>2260</v>
      </c>
      <c r="B2265" s="3" t="str">
        <f>"00556676"</f>
        <v>00556676</v>
      </c>
    </row>
    <row r="2266" spans="1:2" x14ac:dyDescent="0.25">
      <c r="A2266" s="3">
        <v>2261</v>
      </c>
      <c r="B2266" s="3" t="str">
        <f>"00556723"</f>
        <v>00556723</v>
      </c>
    </row>
    <row r="2267" spans="1:2" x14ac:dyDescent="0.25">
      <c r="A2267" s="3">
        <v>2262</v>
      </c>
      <c r="B2267" s="3" t="str">
        <f>"00556794"</f>
        <v>00556794</v>
      </c>
    </row>
    <row r="2268" spans="1:2" x14ac:dyDescent="0.25">
      <c r="A2268" s="3">
        <v>2263</v>
      </c>
      <c r="B2268" s="3" t="str">
        <f>"00556835"</f>
        <v>00556835</v>
      </c>
    </row>
    <row r="2269" spans="1:2" x14ac:dyDescent="0.25">
      <c r="A2269" s="3">
        <v>2264</v>
      </c>
      <c r="B2269" s="3" t="str">
        <f>"00556846"</f>
        <v>00556846</v>
      </c>
    </row>
    <row r="2270" spans="1:2" x14ac:dyDescent="0.25">
      <c r="A2270" s="3">
        <v>2265</v>
      </c>
      <c r="B2270" s="3" t="str">
        <f>"00556944"</f>
        <v>00556944</v>
      </c>
    </row>
    <row r="2271" spans="1:2" x14ac:dyDescent="0.25">
      <c r="A2271" s="3">
        <v>2266</v>
      </c>
      <c r="B2271" s="3" t="str">
        <f>"00557001"</f>
        <v>00557001</v>
      </c>
    </row>
    <row r="2272" spans="1:2" x14ac:dyDescent="0.25">
      <c r="A2272" s="3">
        <v>2267</v>
      </c>
      <c r="B2272" s="3" t="str">
        <f>"00557039"</f>
        <v>00557039</v>
      </c>
    </row>
    <row r="2273" spans="1:2" x14ac:dyDescent="0.25">
      <c r="A2273" s="3">
        <v>2268</v>
      </c>
      <c r="B2273" s="3" t="str">
        <f>"00557048"</f>
        <v>00557048</v>
      </c>
    </row>
    <row r="2274" spans="1:2" x14ac:dyDescent="0.25">
      <c r="A2274" s="3">
        <v>2269</v>
      </c>
      <c r="B2274" s="3" t="str">
        <f>"00557117"</f>
        <v>00557117</v>
      </c>
    </row>
    <row r="2275" spans="1:2" x14ac:dyDescent="0.25">
      <c r="A2275" s="3">
        <v>2270</v>
      </c>
      <c r="B2275" s="3" t="str">
        <f>"00557137"</f>
        <v>00557137</v>
      </c>
    </row>
    <row r="2276" spans="1:2" x14ac:dyDescent="0.25">
      <c r="A2276" s="3">
        <v>2271</v>
      </c>
      <c r="B2276" s="3" t="str">
        <f>"00557140"</f>
        <v>00557140</v>
      </c>
    </row>
    <row r="2277" spans="1:2" x14ac:dyDescent="0.25">
      <c r="A2277" s="3">
        <v>2272</v>
      </c>
      <c r="B2277" s="3" t="str">
        <f>"00557147"</f>
        <v>00557147</v>
      </c>
    </row>
    <row r="2278" spans="1:2" x14ac:dyDescent="0.25">
      <c r="A2278" s="3">
        <v>2273</v>
      </c>
      <c r="B2278" s="3" t="str">
        <f>"00557185"</f>
        <v>00557185</v>
      </c>
    </row>
    <row r="2279" spans="1:2" x14ac:dyDescent="0.25">
      <c r="A2279" s="3">
        <v>2274</v>
      </c>
      <c r="B2279" s="3" t="str">
        <f>"00557186"</f>
        <v>00557186</v>
      </c>
    </row>
    <row r="2280" spans="1:2" x14ac:dyDescent="0.25">
      <c r="A2280" s="3">
        <v>2275</v>
      </c>
      <c r="B2280" s="3" t="str">
        <f>"00557201"</f>
        <v>00557201</v>
      </c>
    </row>
    <row r="2281" spans="1:2" x14ac:dyDescent="0.25">
      <c r="A2281" s="3">
        <v>2276</v>
      </c>
      <c r="B2281" s="3" t="str">
        <f>"00557312"</f>
        <v>00557312</v>
      </c>
    </row>
    <row r="2282" spans="1:2" x14ac:dyDescent="0.25">
      <c r="A2282" s="3">
        <v>2277</v>
      </c>
      <c r="B2282" s="3" t="str">
        <f>"00557367"</f>
        <v>00557367</v>
      </c>
    </row>
    <row r="2283" spans="1:2" x14ac:dyDescent="0.25">
      <c r="A2283" s="3">
        <v>2278</v>
      </c>
      <c r="B2283" s="3" t="str">
        <f>"00557377"</f>
        <v>00557377</v>
      </c>
    </row>
    <row r="2284" spans="1:2" x14ac:dyDescent="0.25">
      <c r="A2284" s="3">
        <v>2279</v>
      </c>
      <c r="B2284" s="3" t="str">
        <f>"00557424"</f>
        <v>00557424</v>
      </c>
    </row>
    <row r="2285" spans="1:2" x14ac:dyDescent="0.25">
      <c r="A2285" s="3">
        <v>2280</v>
      </c>
      <c r="B2285" s="3" t="str">
        <f>"00557596"</f>
        <v>00557596</v>
      </c>
    </row>
    <row r="2286" spans="1:2" x14ac:dyDescent="0.25">
      <c r="A2286" s="3">
        <v>2281</v>
      </c>
      <c r="B2286" s="3" t="str">
        <f>"00557620"</f>
        <v>00557620</v>
      </c>
    </row>
    <row r="2287" spans="1:2" x14ac:dyDescent="0.25">
      <c r="A2287" s="3">
        <v>2282</v>
      </c>
      <c r="B2287" s="3" t="str">
        <f>"00557665"</f>
        <v>00557665</v>
      </c>
    </row>
    <row r="2288" spans="1:2" x14ac:dyDescent="0.25">
      <c r="A2288" s="3">
        <v>2283</v>
      </c>
      <c r="B2288" s="3" t="str">
        <f>"00557700"</f>
        <v>00557700</v>
      </c>
    </row>
    <row r="2289" spans="1:2" x14ac:dyDescent="0.25">
      <c r="A2289" s="3">
        <v>2284</v>
      </c>
      <c r="B2289" s="3" t="str">
        <f>"00557838"</f>
        <v>00557838</v>
      </c>
    </row>
    <row r="2290" spans="1:2" x14ac:dyDescent="0.25">
      <c r="A2290" s="3">
        <v>2285</v>
      </c>
      <c r="B2290" s="3" t="str">
        <f>"00557910"</f>
        <v>00557910</v>
      </c>
    </row>
    <row r="2291" spans="1:2" x14ac:dyDescent="0.25">
      <c r="A2291" s="3">
        <v>2286</v>
      </c>
      <c r="B2291" s="3" t="str">
        <f>"00557988"</f>
        <v>00557988</v>
      </c>
    </row>
    <row r="2292" spans="1:2" x14ac:dyDescent="0.25">
      <c r="A2292" s="3">
        <v>2287</v>
      </c>
      <c r="B2292" s="3" t="str">
        <f>"00558133"</f>
        <v>00558133</v>
      </c>
    </row>
    <row r="2293" spans="1:2" x14ac:dyDescent="0.25">
      <c r="A2293" s="3">
        <v>2288</v>
      </c>
      <c r="B2293" s="3" t="str">
        <f>"00558210"</f>
        <v>00558210</v>
      </c>
    </row>
    <row r="2294" spans="1:2" x14ac:dyDescent="0.25">
      <c r="A2294" s="3">
        <v>2289</v>
      </c>
      <c r="B2294" s="3" t="str">
        <f>"00558233"</f>
        <v>00558233</v>
      </c>
    </row>
    <row r="2295" spans="1:2" x14ac:dyDescent="0.25">
      <c r="A2295" s="3">
        <v>2290</v>
      </c>
      <c r="B2295" s="3" t="str">
        <f>"00558258"</f>
        <v>00558258</v>
      </c>
    </row>
    <row r="2296" spans="1:2" x14ac:dyDescent="0.25">
      <c r="A2296" s="3">
        <v>2291</v>
      </c>
      <c r="B2296" s="3" t="str">
        <f>"00558268"</f>
        <v>00558268</v>
      </c>
    </row>
    <row r="2297" spans="1:2" x14ac:dyDescent="0.25">
      <c r="A2297" s="3">
        <v>2292</v>
      </c>
      <c r="B2297" s="3" t="str">
        <f>"00558339"</f>
        <v>00558339</v>
      </c>
    </row>
    <row r="2298" spans="1:2" x14ac:dyDescent="0.25">
      <c r="A2298" s="3">
        <v>2293</v>
      </c>
      <c r="B2298" s="3" t="str">
        <f>"00558478"</f>
        <v>00558478</v>
      </c>
    </row>
    <row r="2299" spans="1:2" x14ac:dyDescent="0.25">
      <c r="A2299" s="3">
        <v>2294</v>
      </c>
      <c r="B2299" s="3" t="str">
        <f>"00558496"</f>
        <v>00558496</v>
      </c>
    </row>
    <row r="2300" spans="1:2" x14ac:dyDescent="0.25">
      <c r="A2300" s="3">
        <v>2295</v>
      </c>
      <c r="B2300" s="3" t="str">
        <f>"00558533"</f>
        <v>00558533</v>
      </c>
    </row>
    <row r="2301" spans="1:2" x14ac:dyDescent="0.25">
      <c r="A2301" s="3">
        <v>2296</v>
      </c>
      <c r="B2301" s="3" t="str">
        <f>"00558537"</f>
        <v>00558537</v>
      </c>
    </row>
    <row r="2302" spans="1:2" x14ac:dyDescent="0.25">
      <c r="A2302" s="3">
        <v>2297</v>
      </c>
      <c r="B2302" s="3" t="str">
        <f>"00558606"</f>
        <v>00558606</v>
      </c>
    </row>
    <row r="2303" spans="1:2" x14ac:dyDescent="0.25">
      <c r="A2303" s="3">
        <v>2298</v>
      </c>
      <c r="B2303" s="3" t="str">
        <f>"00558618"</f>
        <v>00558618</v>
      </c>
    </row>
    <row r="2304" spans="1:2" x14ac:dyDescent="0.25">
      <c r="A2304" s="3">
        <v>2299</v>
      </c>
      <c r="B2304" s="3" t="str">
        <f>"00558645"</f>
        <v>00558645</v>
      </c>
    </row>
    <row r="2305" spans="1:2" x14ac:dyDescent="0.25">
      <c r="A2305" s="3">
        <v>2300</v>
      </c>
      <c r="B2305" s="3" t="str">
        <f>"00558688"</f>
        <v>00558688</v>
      </c>
    </row>
    <row r="2306" spans="1:2" x14ac:dyDescent="0.25">
      <c r="A2306" s="3">
        <v>2301</v>
      </c>
      <c r="B2306" s="3" t="str">
        <f>"00558732"</f>
        <v>00558732</v>
      </c>
    </row>
    <row r="2307" spans="1:2" x14ac:dyDescent="0.25">
      <c r="A2307" s="3">
        <v>2302</v>
      </c>
      <c r="B2307" s="3" t="str">
        <f>"00558998"</f>
        <v>00558998</v>
      </c>
    </row>
    <row r="2308" spans="1:2" x14ac:dyDescent="0.25">
      <c r="A2308" s="3">
        <v>2303</v>
      </c>
      <c r="B2308" s="3" t="str">
        <f>"00559040"</f>
        <v>00559040</v>
      </c>
    </row>
    <row r="2309" spans="1:2" x14ac:dyDescent="0.25">
      <c r="A2309" s="3">
        <v>2304</v>
      </c>
      <c r="B2309" s="3" t="str">
        <f>"00559044"</f>
        <v>00559044</v>
      </c>
    </row>
    <row r="2310" spans="1:2" x14ac:dyDescent="0.25">
      <c r="A2310" s="3">
        <v>2305</v>
      </c>
      <c r="B2310" s="3" t="str">
        <f>"00559071"</f>
        <v>00559071</v>
      </c>
    </row>
    <row r="2311" spans="1:2" x14ac:dyDescent="0.25">
      <c r="A2311" s="3">
        <v>2306</v>
      </c>
      <c r="B2311" s="3" t="str">
        <f>"00559076"</f>
        <v>00559076</v>
      </c>
    </row>
    <row r="2312" spans="1:2" x14ac:dyDescent="0.25">
      <c r="A2312" s="3">
        <v>2307</v>
      </c>
      <c r="B2312" s="3" t="str">
        <f>"00559094"</f>
        <v>00559094</v>
      </c>
    </row>
    <row r="2313" spans="1:2" x14ac:dyDescent="0.25">
      <c r="A2313" s="3">
        <v>2308</v>
      </c>
      <c r="B2313" s="3" t="str">
        <f>"00559145"</f>
        <v>00559145</v>
      </c>
    </row>
    <row r="2314" spans="1:2" x14ac:dyDescent="0.25">
      <c r="A2314" s="3">
        <v>2309</v>
      </c>
      <c r="B2314" s="3" t="str">
        <f>"00559186"</f>
        <v>00559186</v>
      </c>
    </row>
    <row r="2315" spans="1:2" x14ac:dyDescent="0.25">
      <c r="A2315" s="3">
        <v>2310</v>
      </c>
      <c r="B2315" s="3" t="str">
        <f>"00559209"</f>
        <v>00559209</v>
      </c>
    </row>
    <row r="2316" spans="1:2" x14ac:dyDescent="0.25">
      <c r="A2316" s="3">
        <v>2311</v>
      </c>
      <c r="B2316" s="3" t="str">
        <f>"00559267"</f>
        <v>00559267</v>
      </c>
    </row>
    <row r="2317" spans="1:2" x14ac:dyDescent="0.25">
      <c r="A2317" s="3">
        <v>2312</v>
      </c>
      <c r="B2317" s="3" t="str">
        <f>"00559327"</f>
        <v>00559327</v>
      </c>
    </row>
    <row r="2318" spans="1:2" x14ac:dyDescent="0.25">
      <c r="A2318" s="3">
        <v>2313</v>
      </c>
      <c r="B2318" s="3" t="str">
        <f>"00559530"</f>
        <v>00559530</v>
      </c>
    </row>
    <row r="2319" spans="1:2" x14ac:dyDescent="0.25">
      <c r="A2319" s="3">
        <v>2314</v>
      </c>
      <c r="B2319" s="3" t="str">
        <f>"00559543"</f>
        <v>00559543</v>
      </c>
    </row>
    <row r="2320" spans="1:2" x14ac:dyDescent="0.25">
      <c r="A2320" s="3">
        <v>2315</v>
      </c>
      <c r="B2320" s="3" t="str">
        <f>"00559625"</f>
        <v>00559625</v>
      </c>
    </row>
    <row r="2321" spans="1:2" x14ac:dyDescent="0.25">
      <c r="A2321" s="3">
        <v>2316</v>
      </c>
      <c r="B2321" s="3" t="str">
        <f>"00559743"</f>
        <v>00559743</v>
      </c>
    </row>
    <row r="2322" spans="1:2" x14ac:dyDescent="0.25">
      <c r="A2322" s="3">
        <v>2317</v>
      </c>
      <c r="B2322" s="3" t="str">
        <f>"00559813"</f>
        <v>00559813</v>
      </c>
    </row>
    <row r="2323" spans="1:2" x14ac:dyDescent="0.25">
      <c r="A2323" s="3">
        <v>2318</v>
      </c>
      <c r="B2323" s="3" t="str">
        <f>"00559868"</f>
        <v>00559868</v>
      </c>
    </row>
    <row r="2324" spans="1:2" x14ac:dyDescent="0.25">
      <c r="A2324" s="3">
        <v>2319</v>
      </c>
      <c r="B2324" s="3" t="str">
        <f>"00559870"</f>
        <v>00559870</v>
      </c>
    </row>
    <row r="2325" spans="1:2" x14ac:dyDescent="0.25">
      <c r="A2325" s="3">
        <v>2320</v>
      </c>
      <c r="B2325" s="3" t="str">
        <f>"00559948"</f>
        <v>00559948</v>
      </c>
    </row>
    <row r="2326" spans="1:2" x14ac:dyDescent="0.25">
      <c r="A2326" s="3">
        <v>2321</v>
      </c>
      <c r="B2326" s="3" t="str">
        <f>"00560063"</f>
        <v>00560063</v>
      </c>
    </row>
    <row r="2327" spans="1:2" x14ac:dyDescent="0.25">
      <c r="A2327" s="3">
        <v>2322</v>
      </c>
      <c r="B2327" s="3" t="str">
        <f>"00560073"</f>
        <v>00560073</v>
      </c>
    </row>
    <row r="2328" spans="1:2" x14ac:dyDescent="0.25">
      <c r="A2328" s="3">
        <v>2323</v>
      </c>
      <c r="B2328" s="3" t="str">
        <f>"00560098"</f>
        <v>00560098</v>
      </c>
    </row>
    <row r="2329" spans="1:2" x14ac:dyDescent="0.25">
      <c r="A2329" s="3">
        <v>2324</v>
      </c>
      <c r="B2329" s="3" t="str">
        <f>"00560139"</f>
        <v>00560139</v>
      </c>
    </row>
    <row r="2330" spans="1:2" x14ac:dyDescent="0.25">
      <c r="A2330" s="3">
        <v>2325</v>
      </c>
      <c r="B2330" s="3" t="str">
        <f>"00560174"</f>
        <v>00560174</v>
      </c>
    </row>
    <row r="2331" spans="1:2" x14ac:dyDescent="0.25">
      <c r="A2331" s="3">
        <v>2326</v>
      </c>
      <c r="B2331" s="3" t="str">
        <f>"00560232"</f>
        <v>00560232</v>
      </c>
    </row>
    <row r="2332" spans="1:2" x14ac:dyDescent="0.25">
      <c r="A2332" s="3">
        <v>2327</v>
      </c>
      <c r="B2332" s="3" t="str">
        <f>"00560348"</f>
        <v>00560348</v>
      </c>
    </row>
    <row r="2333" spans="1:2" x14ac:dyDescent="0.25">
      <c r="A2333" s="3">
        <v>2328</v>
      </c>
      <c r="B2333" s="3" t="str">
        <f>"00560377"</f>
        <v>00560377</v>
      </c>
    </row>
    <row r="2334" spans="1:2" x14ac:dyDescent="0.25">
      <c r="A2334" s="3">
        <v>2329</v>
      </c>
      <c r="B2334" s="3" t="str">
        <f>"00560546"</f>
        <v>00560546</v>
      </c>
    </row>
    <row r="2335" spans="1:2" x14ac:dyDescent="0.25">
      <c r="A2335" s="3">
        <v>2330</v>
      </c>
      <c r="B2335" s="3" t="str">
        <f>"00560640"</f>
        <v>00560640</v>
      </c>
    </row>
    <row r="2336" spans="1:2" x14ac:dyDescent="0.25">
      <c r="A2336" s="3">
        <v>2331</v>
      </c>
      <c r="B2336" s="3" t="str">
        <f>"00560728"</f>
        <v>00560728</v>
      </c>
    </row>
    <row r="2337" spans="1:2" x14ac:dyDescent="0.25">
      <c r="A2337" s="3">
        <v>2332</v>
      </c>
      <c r="B2337" s="3" t="str">
        <f>"00560748"</f>
        <v>00560748</v>
      </c>
    </row>
    <row r="2338" spans="1:2" x14ac:dyDescent="0.25">
      <c r="A2338" s="3">
        <v>2333</v>
      </c>
      <c r="B2338" s="3" t="str">
        <f>"00560815"</f>
        <v>00560815</v>
      </c>
    </row>
    <row r="2339" spans="1:2" x14ac:dyDescent="0.25">
      <c r="A2339" s="3">
        <v>2334</v>
      </c>
      <c r="B2339" s="3" t="str">
        <f>"00560921"</f>
        <v>00560921</v>
      </c>
    </row>
    <row r="2340" spans="1:2" x14ac:dyDescent="0.25">
      <c r="A2340" s="3">
        <v>2335</v>
      </c>
      <c r="B2340" s="3" t="str">
        <f>"00560965"</f>
        <v>00560965</v>
      </c>
    </row>
    <row r="2341" spans="1:2" x14ac:dyDescent="0.25">
      <c r="A2341" s="3">
        <v>2336</v>
      </c>
      <c r="B2341" s="3" t="str">
        <f>"00560981"</f>
        <v>00560981</v>
      </c>
    </row>
    <row r="2342" spans="1:2" x14ac:dyDescent="0.25">
      <c r="A2342" s="3">
        <v>2337</v>
      </c>
      <c r="B2342" s="3" t="str">
        <f>"00561074"</f>
        <v>00561074</v>
      </c>
    </row>
    <row r="2343" spans="1:2" x14ac:dyDescent="0.25">
      <c r="A2343" s="3">
        <v>2338</v>
      </c>
      <c r="B2343" s="3" t="str">
        <f>"00561186"</f>
        <v>00561186</v>
      </c>
    </row>
    <row r="2344" spans="1:2" x14ac:dyDescent="0.25">
      <c r="A2344" s="3">
        <v>2339</v>
      </c>
      <c r="B2344" s="3" t="str">
        <f>"00561209"</f>
        <v>00561209</v>
      </c>
    </row>
    <row r="2345" spans="1:2" x14ac:dyDescent="0.25">
      <c r="A2345" s="3">
        <v>2340</v>
      </c>
      <c r="B2345" s="3" t="str">
        <f>"00561279"</f>
        <v>00561279</v>
      </c>
    </row>
    <row r="2346" spans="1:2" x14ac:dyDescent="0.25">
      <c r="A2346" s="3">
        <v>2341</v>
      </c>
      <c r="B2346" s="3" t="str">
        <f>"00561312"</f>
        <v>00561312</v>
      </c>
    </row>
    <row r="2347" spans="1:2" x14ac:dyDescent="0.25">
      <c r="A2347" s="3">
        <v>2342</v>
      </c>
      <c r="B2347" s="3" t="str">
        <f>"00561362"</f>
        <v>00561362</v>
      </c>
    </row>
    <row r="2348" spans="1:2" x14ac:dyDescent="0.25">
      <c r="A2348" s="3">
        <v>2343</v>
      </c>
      <c r="B2348" s="3" t="str">
        <f>"00561377"</f>
        <v>00561377</v>
      </c>
    </row>
    <row r="2349" spans="1:2" x14ac:dyDescent="0.25">
      <c r="A2349" s="3">
        <v>2344</v>
      </c>
      <c r="B2349" s="3" t="str">
        <f>"00561385"</f>
        <v>00561385</v>
      </c>
    </row>
    <row r="2350" spans="1:2" x14ac:dyDescent="0.25">
      <c r="A2350" s="3">
        <v>2345</v>
      </c>
      <c r="B2350" s="3" t="str">
        <f>"00561489"</f>
        <v>00561489</v>
      </c>
    </row>
    <row r="2351" spans="1:2" x14ac:dyDescent="0.25">
      <c r="A2351" s="3">
        <v>2346</v>
      </c>
      <c r="B2351" s="3" t="str">
        <f>"00561519"</f>
        <v>00561519</v>
      </c>
    </row>
    <row r="2352" spans="1:2" x14ac:dyDescent="0.25">
      <c r="A2352" s="3">
        <v>2347</v>
      </c>
      <c r="B2352" s="3" t="str">
        <f>"00561607"</f>
        <v>00561607</v>
      </c>
    </row>
    <row r="2353" spans="1:2" x14ac:dyDescent="0.25">
      <c r="A2353" s="3">
        <v>2348</v>
      </c>
      <c r="B2353" s="3" t="str">
        <f>"00561611"</f>
        <v>00561611</v>
      </c>
    </row>
    <row r="2354" spans="1:2" x14ac:dyDescent="0.25">
      <c r="A2354" s="3">
        <v>2349</v>
      </c>
      <c r="B2354" s="3" t="str">
        <f>"00561620"</f>
        <v>00561620</v>
      </c>
    </row>
    <row r="2355" spans="1:2" x14ac:dyDescent="0.25">
      <c r="A2355" s="3">
        <v>2350</v>
      </c>
      <c r="B2355" s="3" t="str">
        <f>"00561640"</f>
        <v>00561640</v>
      </c>
    </row>
    <row r="2356" spans="1:2" x14ac:dyDescent="0.25">
      <c r="A2356" s="3">
        <v>2351</v>
      </c>
      <c r="B2356" s="3" t="str">
        <f>"00561667"</f>
        <v>00561667</v>
      </c>
    </row>
    <row r="2357" spans="1:2" x14ac:dyDescent="0.25">
      <c r="A2357" s="3">
        <v>2352</v>
      </c>
      <c r="B2357" s="3" t="str">
        <f>"00561791"</f>
        <v>00561791</v>
      </c>
    </row>
    <row r="2358" spans="1:2" x14ac:dyDescent="0.25">
      <c r="A2358" s="3">
        <v>2353</v>
      </c>
      <c r="B2358" s="3" t="str">
        <f>"00561825"</f>
        <v>00561825</v>
      </c>
    </row>
    <row r="2359" spans="1:2" x14ac:dyDescent="0.25">
      <c r="A2359" s="3">
        <v>2354</v>
      </c>
      <c r="B2359" s="3" t="str">
        <f>"00561875"</f>
        <v>00561875</v>
      </c>
    </row>
    <row r="2360" spans="1:2" x14ac:dyDescent="0.25">
      <c r="A2360" s="3">
        <v>2355</v>
      </c>
      <c r="B2360" s="3" t="str">
        <f>"00561881"</f>
        <v>00561881</v>
      </c>
    </row>
    <row r="2361" spans="1:2" x14ac:dyDescent="0.25">
      <c r="A2361" s="3">
        <v>2356</v>
      </c>
      <c r="B2361" s="3" t="str">
        <f>"00561907"</f>
        <v>00561907</v>
      </c>
    </row>
    <row r="2362" spans="1:2" x14ac:dyDescent="0.25">
      <c r="A2362" s="3">
        <v>2357</v>
      </c>
      <c r="B2362" s="3" t="str">
        <f>"00561946"</f>
        <v>00561946</v>
      </c>
    </row>
    <row r="2363" spans="1:2" x14ac:dyDescent="0.25">
      <c r="A2363" s="3">
        <v>2358</v>
      </c>
      <c r="B2363" s="3" t="str">
        <f>"00561962"</f>
        <v>00561962</v>
      </c>
    </row>
    <row r="2364" spans="1:2" x14ac:dyDescent="0.25">
      <c r="A2364" s="3">
        <v>2359</v>
      </c>
      <c r="B2364" s="3" t="str">
        <f>"00562018"</f>
        <v>00562018</v>
      </c>
    </row>
    <row r="2365" spans="1:2" x14ac:dyDescent="0.25">
      <c r="A2365" s="3">
        <v>2360</v>
      </c>
      <c r="B2365" s="3" t="str">
        <f>"00562061"</f>
        <v>00562061</v>
      </c>
    </row>
    <row r="2366" spans="1:2" x14ac:dyDescent="0.25">
      <c r="A2366" s="3">
        <v>2361</v>
      </c>
      <c r="B2366" s="3" t="str">
        <f>"00562068"</f>
        <v>00562068</v>
      </c>
    </row>
    <row r="2367" spans="1:2" x14ac:dyDescent="0.25">
      <c r="A2367" s="3">
        <v>2362</v>
      </c>
      <c r="B2367" s="3" t="str">
        <f>"00562149"</f>
        <v>00562149</v>
      </c>
    </row>
    <row r="2368" spans="1:2" x14ac:dyDescent="0.25">
      <c r="A2368" s="3">
        <v>2363</v>
      </c>
      <c r="B2368" s="3" t="str">
        <f>"00562249"</f>
        <v>00562249</v>
      </c>
    </row>
    <row r="2369" spans="1:2" x14ac:dyDescent="0.25">
      <c r="A2369" s="3">
        <v>2364</v>
      </c>
      <c r="B2369" s="3" t="str">
        <f>"00562252"</f>
        <v>00562252</v>
      </c>
    </row>
    <row r="2370" spans="1:2" x14ac:dyDescent="0.25">
      <c r="A2370" s="3">
        <v>2365</v>
      </c>
      <c r="B2370" s="3" t="str">
        <f>"00562309"</f>
        <v>00562309</v>
      </c>
    </row>
    <row r="2371" spans="1:2" x14ac:dyDescent="0.25">
      <c r="A2371" s="3">
        <v>2366</v>
      </c>
      <c r="B2371" s="3" t="str">
        <f>"00562362"</f>
        <v>00562362</v>
      </c>
    </row>
    <row r="2372" spans="1:2" x14ac:dyDescent="0.25">
      <c r="A2372" s="3">
        <v>2367</v>
      </c>
      <c r="B2372" s="3" t="str">
        <f>"00562415"</f>
        <v>00562415</v>
      </c>
    </row>
    <row r="2373" spans="1:2" x14ac:dyDescent="0.25">
      <c r="A2373" s="3">
        <v>2368</v>
      </c>
      <c r="B2373" s="3" t="str">
        <f>"00562431"</f>
        <v>00562431</v>
      </c>
    </row>
    <row r="2374" spans="1:2" x14ac:dyDescent="0.25">
      <c r="A2374" s="3">
        <v>2369</v>
      </c>
      <c r="B2374" s="3" t="str">
        <f>"00562560"</f>
        <v>00562560</v>
      </c>
    </row>
    <row r="2375" spans="1:2" x14ac:dyDescent="0.25">
      <c r="A2375" s="3">
        <v>2370</v>
      </c>
      <c r="B2375" s="3" t="str">
        <f>"00562959"</f>
        <v>00562959</v>
      </c>
    </row>
    <row r="2376" spans="1:2" x14ac:dyDescent="0.25">
      <c r="A2376" s="3">
        <v>2371</v>
      </c>
      <c r="B2376" s="3" t="str">
        <f>"00562985"</f>
        <v>00562985</v>
      </c>
    </row>
    <row r="2377" spans="1:2" x14ac:dyDescent="0.25">
      <c r="A2377" s="3">
        <v>2372</v>
      </c>
      <c r="B2377" s="3" t="str">
        <f>"00562989"</f>
        <v>00562989</v>
      </c>
    </row>
    <row r="2378" spans="1:2" x14ac:dyDescent="0.25">
      <c r="A2378" s="3">
        <v>2373</v>
      </c>
      <c r="B2378" s="3" t="str">
        <f>"00563023"</f>
        <v>00563023</v>
      </c>
    </row>
    <row r="2379" spans="1:2" x14ac:dyDescent="0.25">
      <c r="A2379" s="3">
        <v>2374</v>
      </c>
      <c r="B2379" s="3" t="str">
        <f>"00563237"</f>
        <v>00563237</v>
      </c>
    </row>
    <row r="2380" spans="1:2" x14ac:dyDescent="0.25">
      <c r="A2380" s="3">
        <v>2375</v>
      </c>
      <c r="B2380" s="3" t="str">
        <f>"00563490"</f>
        <v>00563490</v>
      </c>
    </row>
    <row r="2381" spans="1:2" x14ac:dyDescent="0.25">
      <c r="A2381" s="3">
        <v>2376</v>
      </c>
      <c r="B2381" s="3" t="str">
        <f>"00565110"</f>
        <v>00565110</v>
      </c>
    </row>
    <row r="2382" spans="1:2" x14ac:dyDescent="0.25">
      <c r="A2382" s="3">
        <v>2377</v>
      </c>
      <c r="B2382" s="3" t="str">
        <f>"00565155"</f>
        <v>00565155</v>
      </c>
    </row>
    <row r="2383" spans="1:2" x14ac:dyDescent="0.25">
      <c r="A2383" s="3">
        <v>2378</v>
      </c>
      <c r="B2383" s="3" t="str">
        <f>"00565451"</f>
        <v>00565451</v>
      </c>
    </row>
    <row r="2384" spans="1:2" x14ac:dyDescent="0.25">
      <c r="A2384" s="3">
        <v>2379</v>
      </c>
      <c r="B2384" s="3" t="str">
        <f>"00565537"</f>
        <v>00565537</v>
      </c>
    </row>
    <row r="2385" spans="1:2" x14ac:dyDescent="0.25">
      <c r="A2385" s="3">
        <v>2380</v>
      </c>
      <c r="B2385" s="3" t="str">
        <f>"00565760"</f>
        <v>00565760</v>
      </c>
    </row>
    <row r="2386" spans="1:2" x14ac:dyDescent="0.25">
      <c r="A2386" s="3">
        <v>2381</v>
      </c>
      <c r="B2386" s="3" t="str">
        <f>"00566892"</f>
        <v>00566892</v>
      </c>
    </row>
    <row r="2387" spans="1:2" x14ac:dyDescent="0.25">
      <c r="A2387" s="3">
        <v>2382</v>
      </c>
      <c r="B2387" s="3" t="str">
        <f>"00566976"</f>
        <v>00566976</v>
      </c>
    </row>
    <row r="2388" spans="1:2" x14ac:dyDescent="0.25">
      <c r="A2388" s="3">
        <v>2383</v>
      </c>
      <c r="B2388" s="3" t="str">
        <f>"00567495"</f>
        <v>00567495</v>
      </c>
    </row>
    <row r="2389" spans="1:2" x14ac:dyDescent="0.25">
      <c r="A2389" s="3">
        <v>2384</v>
      </c>
      <c r="B2389" s="3" t="str">
        <f>"00567569"</f>
        <v>00567569</v>
      </c>
    </row>
    <row r="2390" spans="1:2" x14ac:dyDescent="0.25">
      <c r="A2390" s="3">
        <v>2385</v>
      </c>
      <c r="B2390" s="3" t="str">
        <f>"00567746"</f>
        <v>00567746</v>
      </c>
    </row>
    <row r="2391" spans="1:2" x14ac:dyDescent="0.25">
      <c r="A2391" s="3">
        <v>2386</v>
      </c>
      <c r="B2391" s="3" t="str">
        <f>"00567951"</f>
        <v>00567951</v>
      </c>
    </row>
    <row r="2392" spans="1:2" x14ac:dyDescent="0.25">
      <c r="A2392" s="3">
        <v>2387</v>
      </c>
      <c r="B2392" s="3" t="str">
        <f>"00567953"</f>
        <v>00567953</v>
      </c>
    </row>
    <row r="2393" spans="1:2" x14ac:dyDescent="0.25">
      <c r="A2393" s="3">
        <v>2388</v>
      </c>
      <c r="B2393" s="3" t="str">
        <f>"00567965"</f>
        <v>00567965</v>
      </c>
    </row>
    <row r="2394" spans="1:2" x14ac:dyDescent="0.25">
      <c r="A2394" s="3">
        <v>2389</v>
      </c>
      <c r="B2394" s="3" t="str">
        <f>"00568079"</f>
        <v>00568079</v>
      </c>
    </row>
    <row r="2395" spans="1:2" x14ac:dyDescent="0.25">
      <c r="A2395" s="3">
        <v>2390</v>
      </c>
      <c r="B2395" s="3" t="str">
        <f>"00568274"</f>
        <v>00568274</v>
      </c>
    </row>
    <row r="2396" spans="1:2" x14ac:dyDescent="0.25">
      <c r="A2396" s="3">
        <v>2391</v>
      </c>
      <c r="B2396" s="3" t="str">
        <f>"00568649"</f>
        <v>00568649</v>
      </c>
    </row>
    <row r="2397" spans="1:2" x14ac:dyDescent="0.25">
      <c r="A2397" s="3">
        <v>2392</v>
      </c>
      <c r="B2397" s="3" t="str">
        <f>"00568661"</f>
        <v>00568661</v>
      </c>
    </row>
    <row r="2398" spans="1:2" x14ac:dyDescent="0.25">
      <c r="A2398" s="3">
        <v>2393</v>
      </c>
      <c r="B2398" s="3" t="str">
        <f>"00569165"</f>
        <v>00569165</v>
      </c>
    </row>
    <row r="2399" spans="1:2" x14ac:dyDescent="0.25">
      <c r="A2399" s="3">
        <v>2394</v>
      </c>
      <c r="B2399" s="3" t="str">
        <f>"00569864"</f>
        <v>00569864</v>
      </c>
    </row>
    <row r="2400" spans="1:2" x14ac:dyDescent="0.25">
      <c r="A2400" s="3">
        <v>2395</v>
      </c>
      <c r="B2400" s="3" t="str">
        <f>"00570073"</f>
        <v>00570073</v>
      </c>
    </row>
    <row r="2401" spans="1:2" x14ac:dyDescent="0.25">
      <c r="A2401" s="3">
        <v>2396</v>
      </c>
      <c r="B2401" s="3" t="str">
        <f>"00570126"</f>
        <v>00570126</v>
      </c>
    </row>
    <row r="2402" spans="1:2" x14ac:dyDescent="0.25">
      <c r="A2402" s="3">
        <v>2397</v>
      </c>
      <c r="B2402" s="3" t="str">
        <f>"00570397"</f>
        <v>00570397</v>
      </c>
    </row>
    <row r="2403" spans="1:2" x14ac:dyDescent="0.25">
      <c r="A2403" s="3">
        <v>2398</v>
      </c>
      <c r="B2403" s="3" t="str">
        <f>"00570761"</f>
        <v>00570761</v>
      </c>
    </row>
    <row r="2404" spans="1:2" x14ac:dyDescent="0.25">
      <c r="A2404" s="3">
        <v>2399</v>
      </c>
      <c r="B2404" s="3" t="str">
        <f>"00570796"</f>
        <v>00570796</v>
      </c>
    </row>
    <row r="2405" spans="1:2" x14ac:dyDescent="0.25">
      <c r="A2405" s="3">
        <v>2400</v>
      </c>
      <c r="B2405" s="3" t="str">
        <f>"00571683"</f>
        <v>00571683</v>
      </c>
    </row>
    <row r="2406" spans="1:2" x14ac:dyDescent="0.25">
      <c r="A2406" s="3">
        <v>2401</v>
      </c>
      <c r="B2406" s="3" t="str">
        <f>"00571690"</f>
        <v>00571690</v>
      </c>
    </row>
    <row r="2407" spans="1:2" x14ac:dyDescent="0.25">
      <c r="A2407" s="3">
        <v>2402</v>
      </c>
      <c r="B2407" s="3" t="str">
        <f>"00572332"</f>
        <v>00572332</v>
      </c>
    </row>
    <row r="2408" spans="1:2" x14ac:dyDescent="0.25">
      <c r="A2408" s="3">
        <v>2403</v>
      </c>
      <c r="B2408" s="3" t="str">
        <f>"00572516"</f>
        <v>00572516</v>
      </c>
    </row>
    <row r="2409" spans="1:2" x14ac:dyDescent="0.25">
      <c r="A2409" s="3">
        <v>2404</v>
      </c>
      <c r="B2409" s="3" t="str">
        <f>"00572603"</f>
        <v>00572603</v>
      </c>
    </row>
    <row r="2410" spans="1:2" x14ac:dyDescent="0.25">
      <c r="A2410" s="3">
        <v>2405</v>
      </c>
      <c r="B2410" s="3" t="str">
        <f>"00574215"</f>
        <v>00574215</v>
      </c>
    </row>
    <row r="2411" spans="1:2" x14ac:dyDescent="0.25">
      <c r="A2411" s="3">
        <v>2406</v>
      </c>
      <c r="B2411" s="3" t="str">
        <f>"00574284"</f>
        <v>00574284</v>
      </c>
    </row>
    <row r="2412" spans="1:2" x14ac:dyDescent="0.25">
      <c r="A2412" s="3">
        <v>2407</v>
      </c>
      <c r="B2412" s="3" t="str">
        <f>"00574596"</f>
        <v>00574596</v>
      </c>
    </row>
    <row r="2413" spans="1:2" x14ac:dyDescent="0.25">
      <c r="A2413" s="3">
        <v>2408</v>
      </c>
      <c r="B2413" s="3" t="str">
        <f>"00576223"</f>
        <v>00576223</v>
      </c>
    </row>
    <row r="2414" spans="1:2" x14ac:dyDescent="0.25">
      <c r="A2414" s="3">
        <v>2409</v>
      </c>
      <c r="B2414" s="3" t="str">
        <f>"00576224"</f>
        <v>00576224</v>
      </c>
    </row>
    <row r="2415" spans="1:2" x14ac:dyDescent="0.25">
      <c r="A2415" s="3">
        <v>2410</v>
      </c>
      <c r="B2415" s="3" t="str">
        <f>"00576229"</f>
        <v>00576229</v>
      </c>
    </row>
    <row r="2416" spans="1:2" x14ac:dyDescent="0.25">
      <c r="A2416" s="3">
        <v>2411</v>
      </c>
      <c r="B2416" s="3" t="str">
        <f>"00576468"</f>
        <v>00576468</v>
      </c>
    </row>
    <row r="2417" spans="1:2" x14ac:dyDescent="0.25">
      <c r="A2417" s="3">
        <v>2412</v>
      </c>
      <c r="B2417" s="3" t="str">
        <f>"00577174"</f>
        <v>00577174</v>
      </c>
    </row>
    <row r="2418" spans="1:2" x14ac:dyDescent="0.25">
      <c r="A2418" s="3">
        <v>2413</v>
      </c>
      <c r="B2418" s="3" t="str">
        <f>"00578124"</f>
        <v>00578124</v>
      </c>
    </row>
    <row r="2419" spans="1:2" x14ac:dyDescent="0.25">
      <c r="A2419" s="3">
        <v>2414</v>
      </c>
      <c r="B2419" s="3" t="str">
        <f>"00578508"</f>
        <v>00578508</v>
      </c>
    </row>
    <row r="2420" spans="1:2" x14ac:dyDescent="0.25">
      <c r="A2420" s="3">
        <v>2415</v>
      </c>
      <c r="B2420" s="3" t="str">
        <f>"00579742"</f>
        <v>00579742</v>
      </c>
    </row>
    <row r="2421" spans="1:2" x14ac:dyDescent="0.25">
      <c r="A2421" s="3">
        <v>2416</v>
      </c>
      <c r="B2421" s="3" t="str">
        <f>"00579804"</f>
        <v>00579804</v>
      </c>
    </row>
    <row r="2422" spans="1:2" x14ac:dyDescent="0.25">
      <c r="A2422" s="3">
        <v>2417</v>
      </c>
      <c r="B2422" s="3" t="str">
        <f>"00580068"</f>
        <v>00580068</v>
      </c>
    </row>
    <row r="2423" spans="1:2" x14ac:dyDescent="0.25">
      <c r="A2423" s="3">
        <v>2418</v>
      </c>
      <c r="B2423" s="3" t="str">
        <f>"00580558"</f>
        <v>00580558</v>
      </c>
    </row>
    <row r="2424" spans="1:2" x14ac:dyDescent="0.25">
      <c r="A2424" s="3">
        <v>2419</v>
      </c>
      <c r="B2424" s="3" t="str">
        <f>"00581291"</f>
        <v>00581291</v>
      </c>
    </row>
    <row r="2425" spans="1:2" x14ac:dyDescent="0.25">
      <c r="A2425" s="3">
        <v>2420</v>
      </c>
      <c r="B2425" s="3" t="str">
        <f>"00581293"</f>
        <v>00581293</v>
      </c>
    </row>
    <row r="2426" spans="1:2" x14ac:dyDescent="0.25">
      <c r="A2426" s="3">
        <v>2421</v>
      </c>
      <c r="B2426" s="3" t="str">
        <f>"00581294"</f>
        <v>00581294</v>
      </c>
    </row>
    <row r="2427" spans="1:2" x14ac:dyDescent="0.25">
      <c r="A2427" s="3">
        <v>2422</v>
      </c>
      <c r="B2427" s="3" t="str">
        <f>"00581295"</f>
        <v>00581295</v>
      </c>
    </row>
    <row r="2428" spans="1:2" x14ac:dyDescent="0.25">
      <c r="A2428" s="3">
        <v>2423</v>
      </c>
      <c r="B2428" s="3" t="str">
        <f>"00581303"</f>
        <v>00581303</v>
      </c>
    </row>
    <row r="2429" spans="1:2" x14ac:dyDescent="0.25">
      <c r="A2429" s="3">
        <v>2424</v>
      </c>
      <c r="B2429" s="3" t="str">
        <f>"00581306"</f>
        <v>00581306</v>
      </c>
    </row>
    <row r="2430" spans="1:2" x14ac:dyDescent="0.25">
      <c r="A2430" s="3">
        <v>2425</v>
      </c>
      <c r="B2430" s="3" t="str">
        <f>"00581312"</f>
        <v>00581312</v>
      </c>
    </row>
    <row r="2431" spans="1:2" x14ac:dyDescent="0.25">
      <c r="A2431" s="3">
        <v>2426</v>
      </c>
      <c r="B2431" s="3" t="str">
        <f>"00581358"</f>
        <v>00581358</v>
      </c>
    </row>
    <row r="2432" spans="1:2" x14ac:dyDescent="0.25">
      <c r="A2432" s="3">
        <v>2427</v>
      </c>
      <c r="B2432" s="3" t="str">
        <f>"00581574"</f>
        <v>00581574</v>
      </c>
    </row>
    <row r="2433" spans="1:2" x14ac:dyDescent="0.25">
      <c r="A2433" s="3">
        <v>2428</v>
      </c>
      <c r="B2433" s="3" t="str">
        <f>"00581743"</f>
        <v>00581743</v>
      </c>
    </row>
    <row r="2434" spans="1:2" x14ac:dyDescent="0.25">
      <c r="A2434" s="3">
        <v>2429</v>
      </c>
      <c r="B2434" s="3" t="str">
        <f>"00582595"</f>
        <v>00582595</v>
      </c>
    </row>
    <row r="2435" spans="1:2" x14ac:dyDescent="0.25">
      <c r="A2435" s="3">
        <v>2430</v>
      </c>
      <c r="B2435" s="3" t="str">
        <f>"00582597"</f>
        <v>00582597</v>
      </c>
    </row>
    <row r="2436" spans="1:2" x14ac:dyDescent="0.25">
      <c r="A2436" s="3">
        <v>2431</v>
      </c>
      <c r="B2436" s="3" t="str">
        <f>"00582636"</f>
        <v>00582636</v>
      </c>
    </row>
    <row r="2437" spans="1:2" x14ac:dyDescent="0.25">
      <c r="A2437" s="3">
        <v>2432</v>
      </c>
      <c r="B2437" s="3" t="str">
        <f>"00582735"</f>
        <v>00582735</v>
      </c>
    </row>
    <row r="2438" spans="1:2" x14ac:dyDescent="0.25">
      <c r="A2438" s="3">
        <v>2433</v>
      </c>
      <c r="B2438" s="3" t="str">
        <f>"00582893"</f>
        <v>00582893</v>
      </c>
    </row>
    <row r="2439" spans="1:2" x14ac:dyDescent="0.25">
      <c r="A2439" s="3">
        <v>2434</v>
      </c>
      <c r="B2439" s="3" t="str">
        <f>"00585469"</f>
        <v>00585469</v>
      </c>
    </row>
    <row r="2440" spans="1:2" x14ac:dyDescent="0.25">
      <c r="A2440" s="3">
        <v>2435</v>
      </c>
      <c r="B2440" s="3" t="str">
        <f>"00587652"</f>
        <v>00587652</v>
      </c>
    </row>
    <row r="2441" spans="1:2" x14ac:dyDescent="0.25">
      <c r="A2441" s="3">
        <v>2436</v>
      </c>
      <c r="B2441" s="3" t="str">
        <f>"00595698"</f>
        <v>00595698</v>
      </c>
    </row>
    <row r="2442" spans="1:2" x14ac:dyDescent="0.25">
      <c r="A2442" s="3">
        <v>2437</v>
      </c>
      <c r="B2442" s="3" t="str">
        <f>"00597803"</f>
        <v>00597803</v>
      </c>
    </row>
    <row r="2443" spans="1:2" x14ac:dyDescent="0.25">
      <c r="A2443" s="3">
        <v>2438</v>
      </c>
      <c r="B2443" s="3" t="str">
        <f>"00599090"</f>
        <v>00599090</v>
      </c>
    </row>
    <row r="2444" spans="1:2" x14ac:dyDescent="0.25">
      <c r="A2444" s="3">
        <v>2439</v>
      </c>
      <c r="B2444" s="3" t="str">
        <f>"00599162"</f>
        <v>00599162</v>
      </c>
    </row>
    <row r="2445" spans="1:2" x14ac:dyDescent="0.25">
      <c r="A2445" s="3">
        <v>2440</v>
      </c>
      <c r="B2445" s="3" t="str">
        <f>"00599860"</f>
        <v>00599860</v>
      </c>
    </row>
    <row r="2446" spans="1:2" x14ac:dyDescent="0.25">
      <c r="A2446" s="3">
        <v>2441</v>
      </c>
      <c r="B2446" s="3" t="str">
        <f>"00599869"</f>
        <v>00599869</v>
      </c>
    </row>
    <row r="2447" spans="1:2" x14ac:dyDescent="0.25">
      <c r="A2447" s="3">
        <v>2442</v>
      </c>
      <c r="B2447" s="3" t="str">
        <f>"00603166"</f>
        <v>00603166</v>
      </c>
    </row>
    <row r="2448" spans="1:2" x14ac:dyDescent="0.25">
      <c r="A2448" s="3">
        <v>2443</v>
      </c>
      <c r="B2448" s="3" t="str">
        <f>"00604460"</f>
        <v>00604460</v>
      </c>
    </row>
    <row r="2449" spans="1:2" x14ac:dyDescent="0.25">
      <c r="A2449" s="3">
        <v>2444</v>
      </c>
      <c r="B2449" s="3" t="str">
        <f>"00604523"</f>
        <v>00604523</v>
      </c>
    </row>
    <row r="2450" spans="1:2" x14ac:dyDescent="0.25">
      <c r="A2450" s="3">
        <v>2445</v>
      </c>
      <c r="B2450" s="3" t="str">
        <f>"00605068"</f>
        <v>00605068</v>
      </c>
    </row>
    <row r="2451" spans="1:2" x14ac:dyDescent="0.25">
      <c r="A2451" s="3">
        <v>2446</v>
      </c>
      <c r="B2451" s="3" t="str">
        <f>"00605072"</f>
        <v>00605072</v>
      </c>
    </row>
    <row r="2452" spans="1:2" x14ac:dyDescent="0.25">
      <c r="A2452" s="3">
        <v>2447</v>
      </c>
      <c r="B2452" s="3" t="str">
        <f>"00605336"</f>
        <v>00605336</v>
      </c>
    </row>
    <row r="2453" spans="1:2" x14ac:dyDescent="0.25">
      <c r="A2453" s="3">
        <v>2448</v>
      </c>
      <c r="B2453" s="3" t="str">
        <f>"00605481"</f>
        <v>00605481</v>
      </c>
    </row>
    <row r="2454" spans="1:2" x14ac:dyDescent="0.25">
      <c r="A2454" s="3">
        <v>2449</v>
      </c>
      <c r="B2454" s="3" t="str">
        <f>"00608059"</f>
        <v>00608059</v>
      </c>
    </row>
    <row r="2455" spans="1:2" x14ac:dyDescent="0.25">
      <c r="A2455" s="3">
        <v>2450</v>
      </c>
      <c r="B2455" s="3" t="str">
        <f>"00609332"</f>
        <v>00609332</v>
      </c>
    </row>
    <row r="2456" spans="1:2" x14ac:dyDescent="0.25">
      <c r="A2456" s="3">
        <v>2451</v>
      </c>
      <c r="B2456" s="3" t="str">
        <f>"00609988"</f>
        <v>00609988</v>
      </c>
    </row>
    <row r="2457" spans="1:2" x14ac:dyDescent="0.25">
      <c r="A2457" s="3">
        <v>2452</v>
      </c>
      <c r="B2457" s="3" t="str">
        <f>"00610119"</f>
        <v>00610119</v>
      </c>
    </row>
    <row r="2458" spans="1:2" x14ac:dyDescent="0.25">
      <c r="A2458" s="3">
        <v>2453</v>
      </c>
      <c r="B2458" s="3" t="str">
        <f>"00610586"</f>
        <v>00610586</v>
      </c>
    </row>
    <row r="2459" spans="1:2" x14ac:dyDescent="0.25">
      <c r="A2459" s="3">
        <v>2454</v>
      </c>
      <c r="B2459" s="3" t="str">
        <f>"00610786"</f>
        <v>00610786</v>
      </c>
    </row>
    <row r="2460" spans="1:2" x14ac:dyDescent="0.25">
      <c r="A2460" s="3">
        <v>2455</v>
      </c>
      <c r="B2460" s="3" t="str">
        <f>"00611076"</f>
        <v>00611076</v>
      </c>
    </row>
    <row r="2461" spans="1:2" x14ac:dyDescent="0.25">
      <c r="A2461" s="3">
        <v>2456</v>
      </c>
      <c r="B2461" s="3" t="str">
        <f>"00612296"</f>
        <v>00612296</v>
      </c>
    </row>
    <row r="2462" spans="1:2" x14ac:dyDescent="0.25">
      <c r="A2462" s="3">
        <v>2457</v>
      </c>
      <c r="B2462" s="3" t="str">
        <f>"00613212"</f>
        <v>00613212</v>
      </c>
    </row>
    <row r="2463" spans="1:2" x14ac:dyDescent="0.25">
      <c r="A2463" s="3">
        <v>2458</v>
      </c>
      <c r="B2463" s="3" t="str">
        <f>"00613797"</f>
        <v>00613797</v>
      </c>
    </row>
    <row r="2464" spans="1:2" x14ac:dyDescent="0.25">
      <c r="A2464" s="3">
        <v>2459</v>
      </c>
      <c r="B2464" s="3" t="str">
        <f>"00616561"</f>
        <v>00616561</v>
      </c>
    </row>
    <row r="2465" spans="1:2" x14ac:dyDescent="0.25">
      <c r="A2465" s="3">
        <v>2460</v>
      </c>
      <c r="B2465" s="3" t="str">
        <f>"00616788"</f>
        <v>00616788</v>
      </c>
    </row>
    <row r="2466" spans="1:2" x14ac:dyDescent="0.25">
      <c r="A2466" s="3">
        <v>2461</v>
      </c>
      <c r="B2466" s="3" t="str">
        <f>"00617625"</f>
        <v>00617625</v>
      </c>
    </row>
    <row r="2467" spans="1:2" x14ac:dyDescent="0.25">
      <c r="A2467" s="3">
        <v>2462</v>
      </c>
      <c r="B2467" s="3" t="str">
        <f>"00617928"</f>
        <v>00617928</v>
      </c>
    </row>
    <row r="2468" spans="1:2" x14ac:dyDescent="0.25">
      <c r="A2468" s="3">
        <v>2463</v>
      </c>
      <c r="B2468" s="3" t="str">
        <f>"00618398"</f>
        <v>00618398</v>
      </c>
    </row>
    <row r="2469" spans="1:2" x14ac:dyDescent="0.25">
      <c r="A2469" s="3">
        <v>2464</v>
      </c>
      <c r="B2469" s="3" t="str">
        <f>"00618403"</f>
        <v>00618403</v>
      </c>
    </row>
    <row r="2470" spans="1:2" x14ac:dyDescent="0.25">
      <c r="A2470" s="3">
        <v>2465</v>
      </c>
      <c r="B2470" s="3" t="str">
        <f>"00618908"</f>
        <v>00618908</v>
      </c>
    </row>
    <row r="2471" spans="1:2" x14ac:dyDescent="0.25">
      <c r="A2471" s="3">
        <v>2466</v>
      </c>
      <c r="B2471" s="3" t="str">
        <f>"00620061"</f>
        <v>00620061</v>
      </c>
    </row>
    <row r="2472" spans="1:2" x14ac:dyDescent="0.25">
      <c r="A2472" s="3">
        <v>2467</v>
      </c>
      <c r="B2472" s="3" t="str">
        <f>"00620848"</f>
        <v>00620848</v>
      </c>
    </row>
    <row r="2473" spans="1:2" x14ac:dyDescent="0.25">
      <c r="A2473" s="3">
        <v>2468</v>
      </c>
      <c r="B2473" s="3" t="str">
        <f>"00622070"</f>
        <v>00622070</v>
      </c>
    </row>
    <row r="2474" spans="1:2" x14ac:dyDescent="0.25">
      <c r="A2474" s="3">
        <v>2469</v>
      </c>
      <c r="B2474" s="3" t="str">
        <f>"00622171"</f>
        <v>00622171</v>
      </c>
    </row>
    <row r="2475" spans="1:2" x14ac:dyDescent="0.25">
      <c r="A2475" s="3">
        <v>2470</v>
      </c>
      <c r="B2475" s="3" t="str">
        <f>"00622461"</f>
        <v>00622461</v>
      </c>
    </row>
    <row r="2476" spans="1:2" x14ac:dyDescent="0.25">
      <c r="A2476" s="3">
        <v>2471</v>
      </c>
      <c r="B2476" s="3" t="str">
        <f>"00623698"</f>
        <v>00623698</v>
      </c>
    </row>
    <row r="2477" spans="1:2" x14ac:dyDescent="0.25">
      <c r="A2477" s="3">
        <v>2472</v>
      </c>
      <c r="B2477" s="3" t="str">
        <f>"00624188"</f>
        <v>00624188</v>
      </c>
    </row>
    <row r="2478" spans="1:2" x14ac:dyDescent="0.25">
      <c r="A2478" s="3">
        <v>2473</v>
      </c>
      <c r="B2478" s="3" t="str">
        <f>"00624831"</f>
        <v>00624831</v>
      </c>
    </row>
    <row r="2479" spans="1:2" x14ac:dyDescent="0.25">
      <c r="A2479" s="3">
        <v>2474</v>
      </c>
      <c r="B2479" s="3" t="str">
        <f>"00625083"</f>
        <v>00625083</v>
      </c>
    </row>
    <row r="2480" spans="1:2" x14ac:dyDescent="0.25">
      <c r="A2480" s="3">
        <v>2475</v>
      </c>
      <c r="B2480" s="3" t="str">
        <f>"00627329"</f>
        <v>00627329</v>
      </c>
    </row>
    <row r="2481" spans="1:2" x14ac:dyDescent="0.25">
      <c r="A2481" s="3">
        <v>2476</v>
      </c>
      <c r="B2481" s="3" t="str">
        <f>"00627445"</f>
        <v>00627445</v>
      </c>
    </row>
    <row r="2482" spans="1:2" x14ac:dyDescent="0.25">
      <c r="A2482" s="3">
        <v>2477</v>
      </c>
      <c r="B2482" s="3" t="str">
        <f>"00627526"</f>
        <v>00627526</v>
      </c>
    </row>
    <row r="2483" spans="1:2" x14ac:dyDescent="0.25">
      <c r="A2483" s="3">
        <v>2478</v>
      </c>
      <c r="B2483" s="3" t="str">
        <f>"00628375"</f>
        <v>00628375</v>
      </c>
    </row>
    <row r="2484" spans="1:2" x14ac:dyDescent="0.25">
      <c r="A2484" s="3">
        <v>2479</v>
      </c>
      <c r="B2484" s="3" t="str">
        <f>"00629066"</f>
        <v>00629066</v>
      </c>
    </row>
    <row r="2485" spans="1:2" x14ac:dyDescent="0.25">
      <c r="A2485" s="3">
        <v>2480</v>
      </c>
      <c r="B2485" s="3" t="str">
        <f>"00629512"</f>
        <v>00629512</v>
      </c>
    </row>
    <row r="2486" spans="1:2" x14ac:dyDescent="0.25">
      <c r="A2486" s="3">
        <v>2481</v>
      </c>
      <c r="B2486" s="3" t="str">
        <f>"00630048"</f>
        <v>00630048</v>
      </c>
    </row>
    <row r="2487" spans="1:2" x14ac:dyDescent="0.25">
      <c r="A2487" s="3">
        <v>2482</v>
      </c>
      <c r="B2487" s="3" t="str">
        <f>"00631163"</f>
        <v>00631163</v>
      </c>
    </row>
    <row r="2488" spans="1:2" x14ac:dyDescent="0.25">
      <c r="A2488" s="3">
        <v>2483</v>
      </c>
      <c r="B2488" s="3" t="str">
        <f>"00631397"</f>
        <v>00631397</v>
      </c>
    </row>
    <row r="2489" spans="1:2" x14ac:dyDescent="0.25">
      <c r="A2489" s="3">
        <v>2484</v>
      </c>
      <c r="B2489" s="3" t="str">
        <f>"00631407"</f>
        <v>00631407</v>
      </c>
    </row>
    <row r="2490" spans="1:2" x14ac:dyDescent="0.25">
      <c r="A2490" s="3">
        <v>2485</v>
      </c>
      <c r="B2490" s="3" t="str">
        <f>"00631707"</f>
        <v>00631707</v>
      </c>
    </row>
    <row r="2491" spans="1:2" x14ac:dyDescent="0.25">
      <c r="A2491" s="3">
        <v>2486</v>
      </c>
      <c r="B2491" s="3" t="str">
        <f>"00632609"</f>
        <v>00632609</v>
      </c>
    </row>
    <row r="2492" spans="1:2" x14ac:dyDescent="0.25">
      <c r="A2492" s="3">
        <v>2487</v>
      </c>
      <c r="B2492" s="3" t="str">
        <f>"00632610"</f>
        <v>00632610</v>
      </c>
    </row>
    <row r="2493" spans="1:2" x14ac:dyDescent="0.25">
      <c r="A2493" s="3">
        <v>2488</v>
      </c>
      <c r="B2493" s="3" t="str">
        <f>"00632611"</f>
        <v>00632611</v>
      </c>
    </row>
    <row r="2494" spans="1:2" x14ac:dyDescent="0.25">
      <c r="A2494" s="3">
        <v>2489</v>
      </c>
      <c r="B2494" s="3" t="str">
        <f>"00633521"</f>
        <v>00633521</v>
      </c>
    </row>
    <row r="2495" spans="1:2" x14ac:dyDescent="0.25">
      <c r="A2495" s="3">
        <v>2490</v>
      </c>
      <c r="B2495" s="3" t="str">
        <f>"00633901"</f>
        <v>00633901</v>
      </c>
    </row>
    <row r="2496" spans="1:2" x14ac:dyDescent="0.25">
      <c r="A2496" s="3">
        <v>2491</v>
      </c>
      <c r="B2496" s="3" t="str">
        <f>"00634283"</f>
        <v>00634283</v>
      </c>
    </row>
    <row r="2497" spans="1:2" x14ac:dyDescent="0.25">
      <c r="A2497" s="3">
        <v>2492</v>
      </c>
      <c r="B2497" s="3" t="str">
        <f>"00634364"</f>
        <v>00634364</v>
      </c>
    </row>
    <row r="2498" spans="1:2" x14ac:dyDescent="0.25">
      <c r="A2498" s="3">
        <v>2493</v>
      </c>
      <c r="B2498" s="3" t="str">
        <f>"00635151"</f>
        <v>00635151</v>
      </c>
    </row>
    <row r="2499" spans="1:2" x14ac:dyDescent="0.25">
      <c r="A2499" s="3">
        <v>2494</v>
      </c>
      <c r="B2499" s="3" t="str">
        <f>"00635749"</f>
        <v>00635749</v>
      </c>
    </row>
    <row r="2500" spans="1:2" x14ac:dyDescent="0.25">
      <c r="A2500" s="3">
        <v>2495</v>
      </c>
      <c r="B2500" s="3" t="str">
        <f>"00635875"</f>
        <v>00635875</v>
      </c>
    </row>
    <row r="2501" spans="1:2" x14ac:dyDescent="0.25">
      <c r="A2501" s="3">
        <v>2496</v>
      </c>
      <c r="B2501" s="3" t="str">
        <f>"00636099"</f>
        <v>00636099</v>
      </c>
    </row>
    <row r="2502" spans="1:2" x14ac:dyDescent="0.25">
      <c r="A2502" s="3">
        <v>2497</v>
      </c>
      <c r="B2502" s="3" t="str">
        <f>"00636658"</f>
        <v>00636658</v>
      </c>
    </row>
    <row r="2503" spans="1:2" x14ac:dyDescent="0.25">
      <c r="A2503" s="3">
        <v>2498</v>
      </c>
      <c r="B2503" s="3" t="str">
        <f>"00636875"</f>
        <v>00636875</v>
      </c>
    </row>
    <row r="2504" spans="1:2" x14ac:dyDescent="0.25">
      <c r="A2504" s="3">
        <v>2499</v>
      </c>
      <c r="B2504" s="3" t="str">
        <f>"00637101"</f>
        <v>00637101</v>
      </c>
    </row>
    <row r="2505" spans="1:2" x14ac:dyDescent="0.25">
      <c r="A2505" s="3">
        <v>2500</v>
      </c>
      <c r="B2505" s="3" t="str">
        <f>"00637161"</f>
        <v>00637161</v>
      </c>
    </row>
    <row r="2506" spans="1:2" x14ac:dyDescent="0.25">
      <c r="A2506" s="3">
        <v>2501</v>
      </c>
      <c r="B2506" s="3" t="str">
        <f>"00637465"</f>
        <v>00637465</v>
      </c>
    </row>
    <row r="2507" spans="1:2" x14ac:dyDescent="0.25">
      <c r="A2507" s="3">
        <v>2502</v>
      </c>
      <c r="B2507" s="3" t="str">
        <f>"00638700"</f>
        <v>00638700</v>
      </c>
    </row>
    <row r="2508" spans="1:2" x14ac:dyDescent="0.25">
      <c r="A2508" s="3">
        <v>2503</v>
      </c>
      <c r="B2508" s="3" t="str">
        <f>"00638915"</f>
        <v>00638915</v>
      </c>
    </row>
    <row r="2509" spans="1:2" x14ac:dyDescent="0.25">
      <c r="A2509" s="3">
        <v>2504</v>
      </c>
      <c r="B2509" s="3" t="str">
        <f>"00639121"</f>
        <v>00639121</v>
      </c>
    </row>
    <row r="2510" spans="1:2" x14ac:dyDescent="0.25">
      <c r="A2510" s="3">
        <v>2505</v>
      </c>
      <c r="B2510" s="3" t="str">
        <f>"00639234"</f>
        <v>00639234</v>
      </c>
    </row>
    <row r="2511" spans="1:2" x14ac:dyDescent="0.25">
      <c r="A2511" s="3">
        <v>2506</v>
      </c>
      <c r="B2511" s="3" t="str">
        <f>"00639478"</f>
        <v>00639478</v>
      </c>
    </row>
    <row r="2512" spans="1:2" x14ac:dyDescent="0.25">
      <c r="A2512" s="3">
        <v>2507</v>
      </c>
      <c r="B2512" s="3" t="str">
        <f>"00640019"</f>
        <v>00640019</v>
      </c>
    </row>
    <row r="2513" spans="1:2" x14ac:dyDescent="0.25">
      <c r="A2513" s="3">
        <v>2508</v>
      </c>
      <c r="B2513" s="3" t="str">
        <f>"00640587"</f>
        <v>00640587</v>
      </c>
    </row>
    <row r="2514" spans="1:2" x14ac:dyDescent="0.25">
      <c r="A2514" s="3">
        <v>2509</v>
      </c>
      <c r="B2514" s="3" t="str">
        <f>"00640867"</f>
        <v>00640867</v>
      </c>
    </row>
    <row r="2515" spans="1:2" x14ac:dyDescent="0.25">
      <c r="A2515" s="3">
        <v>2510</v>
      </c>
      <c r="B2515" s="3" t="str">
        <f>"00641716"</f>
        <v>00641716</v>
      </c>
    </row>
    <row r="2516" spans="1:2" x14ac:dyDescent="0.25">
      <c r="A2516" s="3">
        <v>2511</v>
      </c>
      <c r="B2516" s="3" t="str">
        <f>"00642241"</f>
        <v>00642241</v>
      </c>
    </row>
    <row r="2517" spans="1:2" x14ac:dyDescent="0.25">
      <c r="A2517" s="3">
        <v>2512</v>
      </c>
      <c r="B2517" s="3" t="str">
        <f>"00642493"</f>
        <v>00642493</v>
      </c>
    </row>
    <row r="2518" spans="1:2" x14ac:dyDescent="0.25">
      <c r="A2518" s="3">
        <v>2513</v>
      </c>
      <c r="B2518" s="3" t="str">
        <f>"00643305"</f>
        <v>00643305</v>
      </c>
    </row>
    <row r="2519" spans="1:2" x14ac:dyDescent="0.25">
      <c r="A2519" s="3">
        <v>2514</v>
      </c>
      <c r="B2519" s="3" t="str">
        <f>"00643892"</f>
        <v>00643892</v>
      </c>
    </row>
    <row r="2520" spans="1:2" x14ac:dyDescent="0.25">
      <c r="A2520" s="3">
        <v>2515</v>
      </c>
      <c r="B2520" s="3" t="str">
        <f>"00644025"</f>
        <v>00644025</v>
      </c>
    </row>
    <row r="2521" spans="1:2" x14ac:dyDescent="0.25">
      <c r="A2521" s="3">
        <v>2516</v>
      </c>
      <c r="B2521" s="3" t="str">
        <f>"00644049"</f>
        <v>00644049</v>
      </c>
    </row>
    <row r="2522" spans="1:2" x14ac:dyDescent="0.25">
      <c r="A2522" s="3">
        <v>2517</v>
      </c>
      <c r="B2522" s="3" t="str">
        <f>"00644702"</f>
        <v>00644702</v>
      </c>
    </row>
    <row r="2523" spans="1:2" x14ac:dyDescent="0.25">
      <c r="A2523" s="3">
        <v>2518</v>
      </c>
      <c r="B2523" s="3" t="str">
        <f>"00647422"</f>
        <v>00647422</v>
      </c>
    </row>
    <row r="2524" spans="1:2" x14ac:dyDescent="0.25">
      <c r="A2524" s="3">
        <v>2519</v>
      </c>
      <c r="B2524" s="3" t="str">
        <f>"00648046"</f>
        <v>00648046</v>
      </c>
    </row>
    <row r="2525" spans="1:2" x14ac:dyDescent="0.25">
      <c r="A2525" s="3">
        <v>2520</v>
      </c>
      <c r="B2525" s="3" t="str">
        <f>"00648376"</f>
        <v>00648376</v>
      </c>
    </row>
    <row r="2526" spans="1:2" x14ac:dyDescent="0.25">
      <c r="A2526" s="3">
        <v>2521</v>
      </c>
      <c r="B2526" s="3" t="str">
        <f>"00648809"</f>
        <v>00648809</v>
      </c>
    </row>
    <row r="2527" spans="1:2" x14ac:dyDescent="0.25">
      <c r="A2527" s="3">
        <v>2522</v>
      </c>
      <c r="B2527" s="3" t="str">
        <f>"00649612"</f>
        <v>00649612</v>
      </c>
    </row>
    <row r="2528" spans="1:2" x14ac:dyDescent="0.25">
      <c r="A2528" s="3">
        <v>2523</v>
      </c>
      <c r="B2528" s="3" t="str">
        <f>"00649737"</f>
        <v>00649737</v>
      </c>
    </row>
    <row r="2529" spans="1:2" x14ac:dyDescent="0.25">
      <c r="A2529" s="3">
        <v>2524</v>
      </c>
      <c r="B2529" s="3" t="str">
        <f>"00649773"</f>
        <v>00649773</v>
      </c>
    </row>
    <row r="2530" spans="1:2" x14ac:dyDescent="0.25">
      <c r="A2530" s="3">
        <v>2525</v>
      </c>
      <c r="B2530" s="3" t="str">
        <f>"00650196"</f>
        <v>00650196</v>
      </c>
    </row>
    <row r="2531" spans="1:2" x14ac:dyDescent="0.25">
      <c r="A2531" s="3">
        <v>2526</v>
      </c>
      <c r="B2531" s="3" t="str">
        <f>"00650712"</f>
        <v>00650712</v>
      </c>
    </row>
    <row r="2532" spans="1:2" x14ac:dyDescent="0.25">
      <c r="A2532" s="3">
        <v>2527</v>
      </c>
      <c r="B2532" s="3" t="str">
        <f>"00652024"</f>
        <v>00652024</v>
      </c>
    </row>
    <row r="2533" spans="1:2" x14ac:dyDescent="0.25">
      <c r="A2533" s="3">
        <v>2528</v>
      </c>
      <c r="B2533" s="3" t="str">
        <f>"00652538"</f>
        <v>00652538</v>
      </c>
    </row>
    <row r="2534" spans="1:2" x14ac:dyDescent="0.25">
      <c r="A2534" s="3">
        <v>2529</v>
      </c>
      <c r="B2534" s="3" t="str">
        <f>"00652671"</f>
        <v>00652671</v>
      </c>
    </row>
    <row r="2535" spans="1:2" x14ac:dyDescent="0.25">
      <c r="A2535" s="3">
        <v>2530</v>
      </c>
      <c r="B2535" s="3" t="str">
        <f>"00654168"</f>
        <v>00654168</v>
      </c>
    </row>
    <row r="2536" spans="1:2" x14ac:dyDescent="0.25">
      <c r="A2536" s="3">
        <v>2531</v>
      </c>
      <c r="B2536" s="3" t="str">
        <f>"00654388"</f>
        <v>00654388</v>
      </c>
    </row>
    <row r="2537" spans="1:2" x14ac:dyDescent="0.25">
      <c r="A2537" s="3">
        <v>2532</v>
      </c>
      <c r="B2537" s="3" t="str">
        <f>"00654462"</f>
        <v>00654462</v>
      </c>
    </row>
    <row r="2538" spans="1:2" x14ac:dyDescent="0.25">
      <c r="A2538" s="3">
        <v>2533</v>
      </c>
      <c r="B2538" s="3" t="str">
        <f>"00654525"</f>
        <v>00654525</v>
      </c>
    </row>
    <row r="2539" spans="1:2" x14ac:dyDescent="0.25">
      <c r="A2539" s="3">
        <v>2534</v>
      </c>
      <c r="B2539" s="3" t="str">
        <f>"00654615"</f>
        <v>00654615</v>
      </c>
    </row>
    <row r="2540" spans="1:2" x14ac:dyDescent="0.25">
      <c r="A2540" s="3">
        <v>2535</v>
      </c>
      <c r="B2540" s="3" t="str">
        <f>"00654753"</f>
        <v>00654753</v>
      </c>
    </row>
    <row r="2541" spans="1:2" x14ac:dyDescent="0.25">
      <c r="A2541" s="3">
        <v>2536</v>
      </c>
      <c r="B2541" s="3" t="str">
        <f>"00654767"</f>
        <v>00654767</v>
      </c>
    </row>
    <row r="2542" spans="1:2" x14ac:dyDescent="0.25">
      <c r="A2542" s="3">
        <v>2537</v>
      </c>
      <c r="B2542" s="3" t="str">
        <f>"00654773"</f>
        <v>00654773</v>
      </c>
    </row>
    <row r="2543" spans="1:2" x14ac:dyDescent="0.25">
      <c r="A2543" s="3">
        <v>2538</v>
      </c>
      <c r="B2543" s="3" t="str">
        <f>"00654833"</f>
        <v>00654833</v>
      </c>
    </row>
    <row r="2544" spans="1:2" x14ac:dyDescent="0.25">
      <c r="A2544" s="3">
        <v>2539</v>
      </c>
      <c r="B2544" s="3" t="str">
        <f>"00654900"</f>
        <v>00654900</v>
      </c>
    </row>
    <row r="2545" spans="1:2" x14ac:dyDescent="0.25">
      <c r="A2545" s="3">
        <v>2540</v>
      </c>
      <c r="B2545" s="3" t="str">
        <f>"00654997"</f>
        <v>00654997</v>
      </c>
    </row>
    <row r="2546" spans="1:2" x14ac:dyDescent="0.25">
      <c r="A2546" s="3">
        <v>2541</v>
      </c>
      <c r="B2546" s="3" t="str">
        <f>"00655048"</f>
        <v>00655048</v>
      </c>
    </row>
    <row r="2547" spans="1:2" x14ac:dyDescent="0.25">
      <c r="A2547" s="3">
        <v>2542</v>
      </c>
      <c r="B2547" s="3" t="str">
        <f>"00655168"</f>
        <v>00655168</v>
      </c>
    </row>
    <row r="2548" spans="1:2" x14ac:dyDescent="0.25">
      <c r="A2548" s="3">
        <v>2543</v>
      </c>
      <c r="B2548" s="3" t="str">
        <f>"00655281"</f>
        <v>00655281</v>
      </c>
    </row>
    <row r="2549" spans="1:2" x14ac:dyDescent="0.25">
      <c r="A2549" s="3">
        <v>2544</v>
      </c>
      <c r="B2549" s="3" t="str">
        <f>"00655313"</f>
        <v>00655313</v>
      </c>
    </row>
    <row r="2550" spans="1:2" x14ac:dyDescent="0.25">
      <c r="A2550" s="3">
        <v>2545</v>
      </c>
      <c r="B2550" s="3" t="str">
        <f>"00655416"</f>
        <v>00655416</v>
      </c>
    </row>
    <row r="2551" spans="1:2" x14ac:dyDescent="0.25">
      <c r="A2551" s="3">
        <v>2546</v>
      </c>
      <c r="B2551" s="3" t="str">
        <f>"00655442"</f>
        <v>00655442</v>
      </c>
    </row>
    <row r="2552" spans="1:2" x14ac:dyDescent="0.25">
      <c r="A2552" s="3">
        <v>2547</v>
      </c>
      <c r="B2552" s="3" t="str">
        <f>"00655459"</f>
        <v>00655459</v>
      </c>
    </row>
    <row r="2553" spans="1:2" x14ac:dyDescent="0.25">
      <c r="A2553" s="3">
        <v>2548</v>
      </c>
      <c r="B2553" s="3" t="str">
        <f>"00655619"</f>
        <v>00655619</v>
      </c>
    </row>
    <row r="2554" spans="1:2" x14ac:dyDescent="0.25">
      <c r="A2554" s="3">
        <v>2549</v>
      </c>
      <c r="B2554" s="3" t="str">
        <f>"00655790"</f>
        <v>00655790</v>
      </c>
    </row>
    <row r="2555" spans="1:2" x14ac:dyDescent="0.25">
      <c r="A2555" s="3">
        <v>2550</v>
      </c>
      <c r="B2555" s="3" t="str">
        <f>"00655801"</f>
        <v>00655801</v>
      </c>
    </row>
    <row r="2556" spans="1:2" x14ac:dyDescent="0.25">
      <c r="A2556" s="3">
        <v>2551</v>
      </c>
      <c r="B2556" s="3" t="str">
        <f>"00655808"</f>
        <v>00655808</v>
      </c>
    </row>
    <row r="2557" spans="1:2" x14ac:dyDescent="0.25">
      <c r="A2557" s="3">
        <v>2552</v>
      </c>
      <c r="B2557" s="3" t="str">
        <f>"00655888"</f>
        <v>00655888</v>
      </c>
    </row>
    <row r="2558" spans="1:2" x14ac:dyDescent="0.25">
      <c r="A2558" s="3">
        <v>2553</v>
      </c>
      <c r="B2558" s="3" t="str">
        <f>"00656380"</f>
        <v>00656380</v>
      </c>
    </row>
    <row r="2559" spans="1:2" x14ac:dyDescent="0.25">
      <c r="A2559" s="3">
        <v>2554</v>
      </c>
      <c r="B2559" s="3" t="str">
        <f>"00656515"</f>
        <v>00656515</v>
      </c>
    </row>
    <row r="2560" spans="1:2" x14ac:dyDescent="0.25">
      <c r="A2560" s="3">
        <v>2555</v>
      </c>
      <c r="B2560" s="3" t="str">
        <f>"00656611"</f>
        <v>00656611</v>
      </c>
    </row>
    <row r="2561" spans="1:2" x14ac:dyDescent="0.25">
      <c r="A2561" s="3">
        <v>2556</v>
      </c>
      <c r="B2561" s="3" t="str">
        <f>"00656626"</f>
        <v>00656626</v>
      </c>
    </row>
    <row r="2562" spans="1:2" x14ac:dyDescent="0.25">
      <c r="A2562" s="3">
        <v>2557</v>
      </c>
      <c r="B2562" s="3" t="str">
        <f>"00656772"</f>
        <v>00656772</v>
      </c>
    </row>
    <row r="2563" spans="1:2" x14ac:dyDescent="0.25">
      <c r="A2563" s="3">
        <v>2558</v>
      </c>
      <c r="B2563" s="3" t="str">
        <f>"00656773"</f>
        <v>00656773</v>
      </c>
    </row>
    <row r="2564" spans="1:2" x14ac:dyDescent="0.25">
      <c r="A2564" s="3">
        <v>2559</v>
      </c>
      <c r="B2564" s="3" t="str">
        <f>"00656814"</f>
        <v>00656814</v>
      </c>
    </row>
    <row r="2565" spans="1:2" x14ac:dyDescent="0.25">
      <c r="A2565" s="3">
        <v>2560</v>
      </c>
      <c r="B2565" s="3" t="str">
        <f>"00656863"</f>
        <v>00656863</v>
      </c>
    </row>
    <row r="2566" spans="1:2" x14ac:dyDescent="0.25">
      <c r="A2566" s="3">
        <v>2561</v>
      </c>
      <c r="B2566" s="3" t="str">
        <f>"00657153"</f>
        <v>00657153</v>
      </c>
    </row>
    <row r="2567" spans="1:2" x14ac:dyDescent="0.25">
      <c r="A2567" s="3">
        <v>2562</v>
      </c>
      <c r="B2567" s="3" t="str">
        <f>"00657234"</f>
        <v>00657234</v>
      </c>
    </row>
    <row r="2568" spans="1:2" x14ac:dyDescent="0.25">
      <c r="A2568" s="3">
        <v>2563</v>
      </c>
      <c r="B2568" s="3" t="str">
        <f>"00657365"</f>
        <v>00657365</v>
      </c>
    </row>
    <row r="2569" spans="1:2" x14ac:dyDescent="0.25">
      <c r="A2569" s="3">
        <v>2564</v>
      </c>
      <c r="B2569" s="3" t="str">
        <f>"00658088"</f>
        <v>00658088</v>
      </c>
    </row>
    <row r="2570" spans="1:2" x14ac:dyDescent="0.25">
      <c r="A2570" s="3">
        <v>2565</v>
      </c>
      <c r="B2570" s="3" t="str">
        <f>"00658280"</f>
        <v>00658280</v>
      </c>
    </row>
    <row r="2571" spans="1:2" x14ac:dyDescent="0.25">
      <c r="A2571" s="3">
        <v>2566</v>
      </c>
      <c r="B2571" s="3" t="str">
        <f>"00658519"</f>
        <v>00658519</v>
      </c>
    </row>
    <row r="2572" spans="1:2" x14ac:dyDescent="0.25">
      <c r="A2572" s="3">
        <v>2567</v>
      </c>
      <c r="B2572" s="3" t="str">
        <f>"00658615"</f>
        <v>00658615</v>
      </c>
    </row>
    <row r="2573" spans="1:2" x14ac:dyDescent="0.25">
      <c r="A2573" s="3">
        <v>2568</v>
      </c>
      <c r="B2573" s="3" t="str">
        <f>"00658629"</f>
        <v>00658629</v>
      </c>
    </row>
    <row r="2574" spans="1:2" x14ac:dyDescent="0.25">
      <c r="A2574" s="3">
        <v>2569</v>
      </c>
      <c r="B2574" s="3" t="str">
        <f>"00658633"</f>
        <v>00658633</v>
      </c>
    </row>
    <row r="2575" spans="1:2" x14ac:dyDescent="0.25">
      <c r="A2575" s="3">
        <v>2570</v>
      </c>
      <c r="B2575" s="3" t="str">
        <f>"00658656"</f>
        <v>00658656</v>
      </c>
    </row>
    <row r="2576" spans="1:2" x14ac:dyDescent="0.25">
      <c r="A2576" s="3">
        <v>2571</v>
      </c>
      <c r="B2576" s="3" t="str">
        <f>"00658753"</f>
        <v>00658753</v>
      </c>
    </row>
    <row r="2577" spans="1:2" x14ac:dyDescent="0.25">
      <c r="A2577" s="3">
        <v>2572</v>
      </c>
      <c r="B2577" s="3" t="str">
        <f>"00658876"</f>
        <v>00658876</v>
      </c>
    </row>
    <row r="2578" spans="1:2" x14ac:dyDescent="0.25">
      <c r="A2578" s="3">
        <v>2573</v>
      </c>
      <c r="B2578" s="3" t="str">
        <f>"00659064"</f>
        <v>00659064</v>
      </c>
    </row>
    <row r="2579" spans="1:2" x14ac:dyDescent="0.25">
      <c r="A2579" s="3">
        <v>2574</v>
      </c>
      <c r="B2579" s="3" t="str">
        <f>"00659095"</f>
        <v>00659095</v>
      </c>
    </row>
    <row r="2580" spans="1:2" x14ac:dyDescent="0.25">
      <c r="A2580" s="3">
        <v>2575</v>
      </c>
      <c r="B2580" s="3" t="str">
        <f>"00659120"</f>
        <v>00659120</v>
      </c>
    </row>
    <row r="2581" spans="1:2" x14ac:dyDescent="0.25">
      <c r="A2581" s="3">
        <v>2576</v>
      </c>
      <c r="B2581" s="3" t="str">
        <f>"00659221"</f>
        <v>00659221</v>
      </c>
    </row>
    <row r="2582" spans="1:2" x14ac:dyDescent="0.25">
      <c r="A2582" s="3">
        <v>2577</v>
      </c>
      <c r="B2582" s="3" t="str">
        <f>"00659257"</f>
        <v>00659257</v>
      </c>
    </row>
    <row r="2583" spans="1:2" x14ac:dyDescent="0.25">
      <c r="A2583" s="3">
        <v>2578</v>
      </c>
      <c r="B2583" s="3" t="str">
        <f>"00659306"</f>
        <v>00659306</v>
      </c>
    </row>
    <row r="2584" spans="1:2" x14ac:dyDescent="0.25">
      <c r="A2584" s="3">
        <v>2579</v>
      </c>
      <c r="B2584" s="3" t="str">
        <f>"00659336"</f>
        <v>00659336</v>
      </c>
    </row>
    <row r="2585" spans="1:2" x14ac:dyDescent="0.25">
      <c r="A2585" s="3">
        <v>2580</v>
      </c>
      <c r="B2585" s="3" t="str">
        <f>"00659373"</f>
        <v>00659373</v>
      </c>
    </row>
    <row r="2586" spans="1:2" x14ac:dyDescent="0.25">
      <c r="A2586" s="3">
        <v>2581</v>
      </c>
      <c r="B2586" s="3" t="str">
        <f>"00659419"</f>
        <v>00659419</v>
      </c>
    </row>
    <row r="2587" spans="1:2" x14ac:dyDescent="0.25">
      <c r="A2587" s="3">
        <v>2582</v>
      </c>
      <c r="B2587" s="3" t="str">
        <f>"00659468"</f>
        <v>00659468</v>
      </c>
    </row>
    <row r="2588" spans="1:2" x14ac:dyDescent="0.25">
      <c r="A2588" s="3">
        <v>2583</v>
      </c>
      <c r="B2588" s="3" t="str">
        <f>"00659554"</f>
        <v>00659554</v>
      </c>
    </row>
    <row r="2589" spans="1:2" x14ac:dyDescent="0.25">
      <c r="A2589" s="3">
        <v>2584</v>
      </c>
      <c r="B2589" s="3" t="str">
        <f>"00659795"</f>
        <v>00659795</v>
      </c>
    </row>
    <row r="2590" spans="1:2" x14ac:dyDescent="0.25">
      <c r="A2590" s="3">
        <v>2585</v>
      </c>
      <c r="B2590" s="3" t="str">
        <f>"00659824"</f>
        <v>00659824</v>
      </c>
    </row>
    <row r="2591" spans="1:2" x14ac:dyDescent="0.25">
      <c r="A2591" s="3">
        <v>2586</v>
      </c>
      <c r="B2591" s="3" t="str">
        <f>"00659847"</f>
        <v>00659847</v>
      </c>
    </row>
    <row r="2592" spans="1:2" x14ac:dyDescent="0.25">
      <c r="A2592" s="3">
        <v>2587</v>
      </c>
      <c r="B2592" s="3" t="str">
        <f>"00659873"</f>
        <v>00659873</v>
      </c>
    </row>
    <row r="2593" spans="1:2" x14ac:dyDescent="0.25">
      <c r="A2593" s="3">
        <v>2588</v>
      </c>
      <c r="B2593" s="3" t="str">
        <f>"00660083"</f>
        <v>00660083</v>
      </c>
    </row>
    <row r="2594" spans="1:2" x14ac:dyDescent="0.25">
      <c r="A2594" s="3">
        <v>2589</v>
      </c>
      <c r="B2594" s="3" t="str">
        <f>"00660094"</f>
        <v>00660094</v>
      </c>
    </row>
    <row r="2595" spans="1:2" x14ac:dyDescent="0.25">
      <c r="A2595" s="3">
        <v>2590</v>
      </c>
      <c r="B2595" s="3" t="str">
        <f>"00660100"</f>
        <v>00660100</v>
      </c>
    </row>
    <row r="2596" spans="1:2" x14ac:dyDescent="0.25">
      <c r="A2596" s="3">
        <v>2591</v>
      </c>
      <c r="B2596" s="3" t="str">
        <f>"00660103"</f>
        <v>00660103</v>
      </c>
    </row>
    <row r="2597" spans="1:2" x14ac:dyDescent="0.25">
      <c r="A2597" s="3">
        <v>2592</v>
      </c>
      <c r="B2597" s="3" t="str">
        <f>"00660113"</f>
        <v>00660113</v>
      </c>
    </row>
    <row r="2598" spans="1:2" x14ac:dyDescent="0.25">
      <c r="A2598" s="3">
        <v>2593</v>
      </c>
      <c r="B2598" s="3" t="str">
        <f>"00660204"</f>
        <v>00660204</v>
      </c>
    </row>
    <row r="2599" spans="1:2" x14ac:dyDescent="0.25">
      <c r="A2599" s="3">
        <v>2594</v>
      </c>
      <c r="B2599" s="3" t="str">
        <f>"00660232"</f>
        <v>00660232</v>
      </c>
    </row>
    <row r="2600" spans="1:2" x14ac:dyDescent="0.25">
      <c r="A2600" s="3">
        <v>2595</v>
      </c>
      <c r="B2600" s="3" t="str">
        <f>"00660547"</f>
        <v>00660547</v>
      </c>
    </row>
    <row r="2601" spans="1:2" x14ac:dyDescent="0.25">
      <c r="A2601" s="3">
        <v>2596</v>
      </c>
      <c r="B2601" s="3" t="str">
        <f>"00660555"</f>
        <v>00660555</v>
      </c>
    </row>
    <row r="2602" spans="1:2" x14ac:dyDescent="0.25">
      <c r="A2602" s="3">
        <v>2597</v>
      </c>
      <c r="B2602" s="3" t="str">
        <f>"00660580"</f>
        <v>00660580</v>
      </c>
    </row>
    <row r="2603" spans="1:2" x14ac:dyDescent="0.25">
      <c r="A2603" s="3">
        <v>2598</v>
      </c>
      <c r="B2603" s="3" t="str">
        <f>"00660583"</f>
        <v>00660583</v>
      </c>
    </row>
    <row r="2604" spans="1:2" x14ac:dyDescent="0.25">
      <c r="A2604" s="3">
        <v>2599</v>
      </c>
      <c r="B2604" s="3" t="str">
        <f>"00660603"</f>
        <v>00660603</v>
      </c>
    </row>
    <row r="2605" spans="1:2" x14ac:dyDescent="0.25">
      <c r="A2605" s="3">
        <v>2600</v>
      </c>
      <c r="B2605" s="3" t="str">
        <f>"00660638"</f>
        <v>00660638</v>
      </c>
    </row>
    <row r="2606" spans="1:2" x14ac:dyDescent="0.25">
      <c r="A2606" s="3">
        <v>2601</v>
      </c>
      <c r="B2606" s="3" t="str">
        <f>"00660646"</f>
        <v>00660646</v>
      </c>
    </row>
    <row r="2607" spans="1:2" x14ac:dyDescent="0.25">
      <c r="A2607" s="3">
        <v>2602</v>
      </c>
      <c r="B2607" s="3" t="str">
        <f>"00660715"</f>
        <v>00660715</v>
      </c>
    </row>
    <row r="2608" spans="1:2" x14ac:dyDescent="0.25">
      <c r="A2608" s="3">
        <v>2603</v>
      </c>
      <c r="B2608" s="3" t="str">
        <f>"00660774"</f>
        <v>00660774</v>
      </c>
    </row>
    <row r="2609" spans="1:2" x14ac:dyDescent="0.25">
      <c r="A2609" s="3">
        <v>2604</v>
      </c>
      <c r="B2609" s="3" t="str">
        <f>"00660829"</f>
        <v>00660829</v>
      </c>
    </row>
    <row r="2610" spans="1:2" x14ac:dyDescent="0.25">
      <c r="A2610" s="3">
        <v>2605</v>
      </c>
      <c r="B2610" s="3" t="str">
        <f>"00660987"</f>
        <v>00660987</v>
      </c>
    </row>
    <row r="2611" spans="1:2" x14ac:dyDescent="0.25">
      <c r="A2611" s="3">
        <v>2606</v>
      </c>
      <c r="B2611" s="3" t="str">
        <f>"00661038"</f>
        <v>00661038</v>
      </c>
    </row>
    <row r="2612" spans="1:2" x14ac:dyDescent="0.25">
      <c r="A2612" s="3">
        <v>2607</v>
      </c>
      <c r="B2612" s="3" t="str">
        <f>"00661309"</f>
        <v>00661309</v>
      </c>
    </row>
    <row r="2613" spans="1:2" x14ac:dyDescent="0.25">
      <c r="A2613" s="3">
        <v>2608</v>
      </c>
      <c r="B2613" s="3" t="str">
        <f>"00661457"</f>
        <v>00661457</v>
      </c>
    </row>
    <row r="2614" spans="1:2" x14ac:dyDescent="0.25">
      <c r="A2614" s="3">
        <v>2609</v>
      </c>
      <c r="B2614" s="3" t="str">
        <f>"00661461"</f>
        <v>00661461</v>
      </c>
    </row>
    <row r="2615" spans="1:2" x14ac:dyDescent="0.25">
      <c r="A2615" s="3">
        <v>2610</v>
      </c>
      <c r="B2615" s="3" t="str">
        <f>"00661474"</f>
        <v>00661474</v>
      </c>
    </row>
    <row r="2616" spans="1:2" x14ac:dyDescent="0.25">
      <c r="A2616" s="3">
        <v>2611</v>
      </c>
      <c r="B2616" s="3" t="str">
        <f>"00661491"</f>
        <v>00661491</v>
      </c>
    </row>
    <row r="2617" spans="1:2" x14ac:dyDescent="0.25">
      <c r="A2617" s="3">
        <v>2612</v>
      </c>
      <c r="B2617" s="3" t="str">
        <f>"00661583"</f>
        <v>00661583</v>
      </c>
    </row>
    <row r="2618" spans="1:2" x14ac:dyDescent="0.25">
      <c r="A2618" s="3">
        <v>2613</v>
      </c>
      <c r="B2618" s="3" t="str">
        <f>"00661626"</f>
        <v>00661626</v>
      </c>
    </row>
    <row r="2619" spans="1:2" x14ac:dyDescent="0.25">
      <c r="A2619" s="3">
        <v>2614</v>
      </c>
      <c r="B2619" s="3" t="str">
        <f>"00661676"</f>
        <v>00661676</v>
      </c>
    </row>
    <row r="2620" spans="1:2" x14ac:dyDescent="0.25">
      <c r="A2620" s="3">
        <v>2615</v>
      </c>
      <c r="B2620" s="3" t="str">
        <f>"00661735"</f>
        <v>00661735</v>
      </c>
    </row>
    <row r="2621" spans="1:2" x14ac:dyDescent="0.25">
      <c r="A2621" s="3">
        <v>2616</v>
      </c>
      <c r="B2621" s="3" t="str">
        <f>"00661765"</f>
        <v>00661765</v>
      </c>
    </row>
    <row r="2622" spans="1:2" x14ac:dyDescent="0.25">
      <c r="A2622" s="3">
        <v>2617</v>
      </c>
      <c r="B2622" s="3" t="str">
        <f>"00661830"</f>
        <v>00661830</v>
      </c>
    </row>
    <row r="2623" spans="1:2" x14ac:dyDescent="0.25">
      <c r="A2623" s="3">
        <v>2618</v>
      </c>
      <c r="B2623" s="3" t="str">
        <f>"00662013"</f>
        <v>00662013</v>
      </c>
    </row>
    <row r="2624" spans="1:2" x14ac:dyDescent="0.25">
      <c r="A2624" s="3">
        <v>2619</v>
      </c>
      <c r="B2624" s="3" t="str">
        <f>"00662097"</f>
        <v>00662097</v>
      </c>
    </row>
    <row r="2625" spans="1:2" x14ac:dyDescent="0.25">
      <c r="A2625" s="3">
        <v>2620</v>
      </c>
      <c r="B2625" s="3" t="str">
        <f>"00662105"</f>
        <v>00662105</v>
      </c>
    </row>
    <row r="2626" spans="1:2" x14ac:dyDescent="0.25">
      <c r="A2626" s="3">
        <v>2621</v>
      </c>
      <c r="B2626" s="3" t="str">
        <f>"00662173"</f>
        <v>00662173</v>
      </c>
    </row>
    <row r="2627" spans="1:2" x14ac:dyDescent="0.25">
      <c r="A2627" s="3">
        <v>2622</v>
      </c>
      <c r="B2627" s="3" t="str">
        <f>"00662220"</f>
        <v>00662220</v>
      </c>
    </row>
    <row r="2628" spans="1:2" x14ac:dyDescent="0.25">
      <c r="A2628" s="3">
        <v>2623</v>
      </c>
      <c r="B2628" s="3" t="str">
        <f>"00662353"</f>
        <v>00662353</v>
      </c>
    </row>
    <row r="2629" spans="1:2" x14ac:dyDescent="0.25">
      <c r="A2629" s="3">
        <v>2624</v>
      </c>
      <c r="B2629" s="3" t="str">
        <f>"00662414"</f>
        <v>00662414</v>
      </c>
    </row>
    <row r="2630" spans="1:2" x14ac:dyDescent="0.25">
      <c r="A2630" s="3">
        <v>2625</v>
      </c>
      <c r="B2630" s="3" t="str">
        <f>"00662486"</f>
        <v>00662486</v>
      </c>
    </row>
    <row r="2631" spans="1:2" x14ac:dyDescent="0.25">
      <c r="A2631" s="3">
        <v>2626</v>
      </c>
      <c r="B2631" s="3" t="str">
        <f>"00662494"</f>
        <v>00662494</v>
      </c>
    </row>
    <row r="2632" spans="1:2" x14ac:dyDescent="0.25">
      <c r="A2632" s="3">
        <v>2627</v>
      </c>
      <c r="B2632" s="3" t="str">
        <f>"00662503"</f>
        <v>00662503</v>
      </c>
    </row>
    <row r="2633" spans="1:2" x14ac:dyDescent="0.25">
      <c r="A2633" s="3">
        <v>2628</v>
      </c>
      <c r="B2633" s="3" t="str">
        <f>"00662509"</f>
        <v>00662509</v>
      </c>
    </row>
    <row r="2634" spans="1:2" x14ac:dyDescent="0.25">
      <c r="A2634" s="3">
        <v>2629</v>
      </c>
      <c r="B2634" s="3" t="str">
        <f>"00662510"</f>
        <v>00662510</v>
      </c>
    </row>
    <row r="2635" spans="1:2" x14ac:dyDescent="0.25">
      <c r="A2635" s="3">
        <v>2630</v>
      </c>
      <c r="B2635" s="3" t="str">
        <f>"00662597"</f>
        <v>00662597</v>
      </c>
    </row>
    <row r="2636" spans="1:2" x14ac:dyDescent="0.25">
      <c r="A2636" s="3">
        <v>2631</v>
      </c>
      <c r="B2636" s="3" t="str">
        <f>"00662660"</f>
        <v>00662660</v>
      </c>
    </row>
    <row r="2637" spans="1:2" x14ac:dyDescent="0.25">
      <c r="A2637" s="3">
        <v>2632</v>
      </c>
      <c r="B2637" s="3" t="str">
        <f>"00662677"</f>
        <v>00662677</v>
      </c>
    </row>
    <row r="2638" spans="1:2" x14ac:dyDescent="0.25">
      <c r="A2638" s="3">
        <v>2633</v>
      </c>
      <c r="B2638" s="3" t="str">
        <f>"00662679"</f>
        <v>00662679</v>
      </c>
    </row>
    <row r="2639" spans="1:2" x14ac:dyDescent="0.25">
      <c r="A2639" s="3">
        <v>2634</v>
      </c>
      <c r="B2639" s="3" t="str">
        <f>"00662682"</f>
        <v>00662682</v>
      </c>
    </row>
    <row r="2640" spans="1:2" x14ac:dyDescent="0.25">
      <c r="A2640" s="3">
        <v>2635</v>
      </c>
      <c r="B2640" s="3" t="str">
        <f>"00662687"</f>
        <v>00662687</v>
      </c>
    </row>
    <row r="2641" spans="1:2" x14ac:dyDescent="0.25">
      <c r="A2641" s="3">
        <v>2636</v>
      </c>
      <c r="B2641" s="3" t="str">
        <f>"00662736"</f>
        <v>00662736</v>
      </c>
    </row>
    <row r="2642" spans="1:2" x14ac:dyDescent="0.25">
      <c r="A2642" s="3">
        <v>2637</v>
      </c>
      <c r="B2642" s="3" t="str">
        <f>"00662828"</f>
        <v>00662828</v>
      </c>
    </row>
    <row r="2643" spans="1:2" x14ac:dyDescent="0.25">
      <c r="A2643" s="3">
        <v>2638</v>
      </c>
      <c r="B2643" s="3" t="str">
        <f>"00662838"</f>
        <v>00662838</v>
      </c>
    </row>
    <row r="2644" spans="1:2" x14ac:dyDescent="0.25">
      <c r="A2644" s="3">
        <v>2639</v>
      </c>
      <c r="B2644" s="3" t="str">
        <f>"00662909"</f>
        <v>00662909</v>
      </c>
    </row>
    <row r="2645" spans="1:2" x14ac:dyDescent="0.25">
      <c r="A2645" s="3">
        <v>2640</v>
      </c>
      <c r="B2645" s="3" t="str">
        <f>"00662932"</f>
        <v>00662932</v>
      </c>
    </row>
    <row r="2646" spans="1:2" x14ac:dyDescent="0.25">
      <c r="A2646" s="3">
        <v>2641</v>
      </c>
      <c r="B2646" s="3" t="str">
        <f>"00662969"</f>
        <v>00662969</v>
      </c>
    </row>
    <row r="2647" spans="1:2" x14ac:dyDescent="0.25">
      <c r="A2647" s="3">
        <v>2642</v>
      </c>
      <c r="B2647" s="3" t="str">
        <f>"00662982"</f>
        <v>00662982</v>
      </c>
    </row>
    <row r="2648" spans="1:2" x14ac:dyDescent="0.25">
      <c r="A2648" s="3">
        <v>2643</v>
      </c>
      <c r="B2648" s="3" t="str">
        <f>"00663025"</f>
        <v>00663025</v>
      </c>
    </row>
    <row r="2649" spans="1:2" x14ac:dyDescent="0.25">
      <c r="A2649" s="3">
        <v>2644</v>
      </c>
      <c r="B2649" s="3" t="str">
        <f>"00663030"</f>
        <v>00663030</v>
      </c>
    </row>
    <row r="2650" spans="1:2" x14ac:dyDescent="0.25">
      <c r="A2650" s="3">
        <v>2645</v>
      </c>
      <c r="B2650" s="3" t="str">
        <f>"00663031"</f>
        <v>00663031</v>
      </c>
    </row>
    <row r="2651" spans="1:2" x14ac:dyDescent="0.25">
      <c r="A2651" s="3">
        <v>2646</v>
      </c>
      <c r="B2651" s="3" t="str">
        <f>"00663050"</f>
        <v>00663050</v>
      </c>
    </row>
    <row r="2652" spans="1:2" x14ac:dyDescent="0.25">
      <c r="A2652" s="3">
        <v>2647</v>
      </c>
      <c r="B2652" s="3" t="str">
        <f>"00663079"</f>
        <v>00663079</v>
      </c>
    </row>
    <row r="2653" spans="1:2" x14ac:dyDescent="0.25">
      <c r="A2653" s="3">
        <v>2648</v>
      </c>
      <c r="B2653" s="3" t="str">
        <f>"00663104"</f>
        <v>00663104</v>
      </c>
    </row>
    <row r="2654" spans="1:2" x14ac:dyDescent="0.25">
      <c r="A2654" s="3">
        <v>2649</v>
      </c>
      <c r="B2654" s="3" t="str">
        <f>"00663228"</f>
        <v>00663228</v>
      </c>
    </row>
    <row r="2655" spans="1:2" x14ac:dyDescent="0.25">
      <c r="A2655" s="3">
        <v>2650</v>
      </c>
      <c r="B2655" s="3" t="str">
        <f>"00663274"</f>
        <v>00663274</v>
      </c>
    </row>
    <row r="2656" spans="1:2" x14ac:dyDescent="0.25">
      <c r="A2656" s="3">
        <v>2651</v>
      </c>
      <c r="B2656" s="3" t="str">
        <f>"00663320"</f>
        <v>00663320</v>
      </c>
    </row>
    <row r="2657" spans="1:2" x14ac:dyDescent="0.25">
      <c r="A2657" s="3">
        <v>2652</v>
      </c>
      <c r="B2657" s="3" t="str">
        <f>"00663343"</f>
        <v>00663343</v>
      </c>
    </row>
    <row r="2658" spans="1:2" x14ac:dyDescent="0.25">
      <c r="A2658" s="3">
        <v>2653</v>
      </c>
      <c r="B2658" s="3" t="str">
        <f>"00663347"</f>
        <v>00663347</v>
      </c>
    </row>
    <row r="2659" spans="1:2" x14ac:dyDescent="0.25">
      <c r="A2659" s="3">
        <v>2654</v>
      </c>
      <c r="B2659" s="3" t="str">
        <f>"00663355"</f>
        <v>00663355</v>
      </c>
    </row>
    <row r="2660" spans="1:2" x14ac:dyDescent="0.25">
      <c r="A2660" s="3">
        <v>2655</v>
      </c>
      <c r="B2660" s="3" t="str">
        <f>"00663403"</f>
        <v>00663403</v>
      </c>
    </row>
    <row r="2661" spans="1:2" x14ac:dyDescent="0.25">
      <c r="A2661" s="3">
        <v>2656</v>
      </c>
      <c r="B2661" s="3" t="str">
        <f>"00663414"</f>
        <v>00663414</v>
      </c>
    </row>
    <row r="2662" spans="1:2" x14ac:dyDescent="0.25">
      <c r="A2662" s="3">
        <v>2657</v>
      </c>
      <c r="B2662" s="3" t="str">
        <f>"00663474"</f>
        <v>00663474</v>
      </c>
    </row>
    <row r="2663" spans="1:2" x14ac:dyDescent="0.25">
      <c r="A2663" s="3">
        <v>2658</v>
      </c>
      <c r="B2663" s="3" t="str">
        <f>"00663481"</f>
        <v>00663481</v>
      </c>
    </row>
    <row r="2664" spans="1:2" x14ac:dyDescent="0.25">
      <c r="A2664" s="3">
        <v>2659</v>
      </c>
      <c r="B2664" s="3" t="str">
        <f>"00663516"</f>
        <v>00663516</v>
      </c>
    </row>
    <row r="2665" spans="1:2" x14ac:dyDescent="0.25">
      <c r="A2665" s="3">
        <v>2660</v>
      </c>
      <c r="B2665" s="3" t="str">
        <f>"00663575"</f>
        <v>00663575</v>
      </c>
    </row>
    <row r="2666" spans="1:2" x14ac:dyDescent="0.25">
      <c r="A2666" s="3">
        <v>2661</v>
      </c>
      <c r="B2666" s="3" t="str">
        <f>"00663607"</f>
        <v>00663607</v>
      </c>
    </row>
    <row r="2667" spans="1:2" x14ac:dyDescent="0.25">
      <c r="A2667" s="3">
        <v>2662</v>
      </c>
      <c r="B2667" s="3" t="str">
        <f>"00663612"</f>
        <v>00663612</v>
      </c>
    </row>
    <row r="2668" spans="1:2" x14ac:dyDescent="0.25">
      <c r="A2668" s="3">
        <v>2663</v>
      </c>
      <c r="B2668" s="3" t="str">
        <f>"00663613"</f>
        <v>00663613</v>
      </c>
    </row>
    <row r="2669" spans="1:2" x14ac:dyDescent="0.25">
      <c r="A2669" s="3">
        <v>2664</v>
      </c>
      <c r="B2669" s="3" t="str">
        <f>"00663618"</f>
        <v>00663618</v>
      </c>
    </row>
    <row r="2670" spans="1:2" x14ac:dyDescent="0.25">
      <c r="A2670" s="3">
        <v>2665</v>
      </c>
      <c r="B2670" s="3" t="str">
        <f>"00663626"</f>
        <v>00663626</v>
      </c>
    </row>
    <row r="2671" spans="1:2" x14ac:dyDescent="0.25">
      <c r="A2671" s="3">
        <v>2666</v>
      </c>
      <c r="B2671" s="3" t="str">
        <f>"00663639"</f>
        <v>00663639</v>
      </c>
    </row>
    <row r="2672" spans="1:2" x14ac:dyDescent="0.25">
      <c r="A2672" s="3">
        <v>2667</v>
      </c>
      <c r="B2672" s="3" t="str">
        <f>"00663644"</f>
        <v>00663644</v>
      </c>
    </row>
    <row r="2673" spans="1:2" x14ac:dyDescent="0.25">
      <c r="A2673" s="3">
        <v>2668</v>
      </c>
      <c r="B2673" s="3" t="str">
        <f>"00663677"</f>
        <v>00663677</v>
      </c>
    </row>
    <row r="2674" spans="1:2" x14ac:dyDescent="0.25">
      <c r="A2674" s="3">
        <v>2669</v>
      </c>
      <c r="B2674" s="3" t="str">
        <f>"00663808"</f>
        <v>00663808</v>
      </c>
    </row>
    <row r="2675" spans="1:2" x14ac:dyDescent="0.25">
      <c r="A2675" s="3">
        <v>2670</v>
      </c>
      <c r="B2675" s="3" t="str">
        <f>"00663810"</f>
        <v>00663810</v>
      </c>
    </row>
    <row r="2676" spans="1:2" x14ac:dyDescent="0.25">
      <c r="A2676" s="3">
        <v>2671</v>
      </c>
      <c r="B2676" s="3" t="str">
        <f>"00663865"</f>
        <v>00663865</v>
      </c>
    </row>
    <row r="2677" spans="1:2" x14ac:dyDescent="0.25">
      <c r="A2677" s="3">
        <v>2672</v>
      </c>
      <c r="B2677" s="3" t="str">
        <f>"00663913"</f>
        <v>00663913</v>
      </c>
    </row>
    <row r="2678" spans="1:2" x14ac:dyDescent="0.25">
      <c r="A2678" s="3">
        <v>2673</v>
      </c>
      <c r="B2678" s="3" t="str">
        <f>"00663922"</f>
        <v>00663922</v>
      </c>
    </row>
    <row r="2679" spans="1:2" x14ac:dyDescent="0.25">
      <c r="A2679" s="3">
        <v>2674</v>
      </c>
      <c r="B2679" s="3" t="str">
        <f>"00663956"</f>
        <v>00663956</v>
      </c>
    </row>
    <row r="2680" spans="1:2" x14ac:dyDescent="0.25">
      <c r="A2680" s="3">
        <v>2675</v>
      </c>
      <c r="B2680" s="3" t="str">
        <f>"00663978"</f>
        <v>00663978</v>
      </c>
    </row>
    <row r="2681" spans="1:2" x14ac:dyDescent="0.25">
      <c r="A2681" s="3">
        <v>2676</v>
      </c>
      <c r="B2681" s="3" t="str">
        <f>"00664005"</f>
        <v>00664005</v>
      </c>
    </row>
    <row r="2682" spans="1:2" x14ac:dyDescent="0.25">
      <c r="A2682" s="3">
        <v>2677</v>
      </c>
      <c r="B2682" s="3" t="str">
        <f>"00664074"</f>
        <v>00664074</v>
      </c>
    </row>
    <row r="2683" spans="1:2" x14ac:dyDescent="0.25">
      <c r="A2683" s="3">
        <v>2678</v>
      </c>
      <c r="B2683" s="3" t="str">
        <f>"00664093"</f>
        <v>00664093</v>
      </c>
    </row>
    <row r="2684" spans="1:2" x14ac:dyDescent="0.25">
      <c r="A2684" s="3">
        <v>2679</v>
      </c>
      <c r="B2684" s="3" t="str">
        <f>"00664119"</f>
        <v>00664119</v>
      </c>
    </row>
    <row r="2685" spans="1:2" x14ac:dyDescent="0.25">
      <c r="A2685" s="3">
        <v>2680</v>
      </c>
      <c r="B2685" s="3" t="str">
        <f>"00664144"</f>
        <v>00664144</v>
      </c>
    </row>
    <row r="2686" spans="1:2" x14ac:dyDescent="0.25">
      <c r="A2686" s="3">
        <v>2681</v>
      </c>
      <c r="B2686" s="3" t="str">
        <f>"00664145"</f>
        <v>00664145</v>
      </c>
    </row>
    <row r="2687" spans="1:2" x14ac:dyDescent="0.25">
      <c r="A2687" s="3">
        <v>2682</v>
      </c>
      <c r="B2687" s="3" t="str">
        <f>"00664151"</f>
        <v>00664151</v>
      </c>
    </row>
    <row r="2688" spans="1:2" x14ac:dyDescent="0.25">
      <c r="A2688" s="3">
        <v>2683</v>
      </c>
      <c r="B2688" s="3" t="str">
        <f>"00664182"</f>
        <v>00664182</v>
      </c>
    </row>
    <row r="2689" spans="1:2" x14ac:dyDescent="0.25">
      <c r="A2689" s="3">
        <v>2684</v>
      </c>
      <c r="B2689" s="3" t="str">
        <f>"00664204"</f>
        <v>00664204</v>
      </c>
    </row>
    <row r="2690" spans="1:2" x14ac:dyDescent="0.25">
      <c r="A2690" s="3">
        <v>2685</v>
      </c>
      <c r="B2690" s="3" t="str">
        <f>"00664217"</f>
        <v>00664217</v>
      </c>
    </row>
    <row r="2691" spans="1:2" x14ac:dyDescent="0.25">
      <c r="A2691" s="3">
        <v>2686</v>
      </c>
      <c r="B2691" s="3" t="str">
        <f>"00664226"</f>
        <v>00664226</v>
      </c>
    </row>
    <row r="2692" spans="1:2" x14ac:dyDescent="0.25">
      <c r="A2692" s="3">
        <v>2687</v>
      </c>
      <c r="B2692" s="3" t="str">
        <f>"00664257"</f>
        <v>00664257</v>
      </c>
    </row>
    <row r="2693" spans="1:2" x14ac:dyDescent="0.25">
      <c r="A2693" s="3">
        <v>2688</v>
      </c>
      <c r="B2693" s="3" t="str">
        <f>"00664297"</f>
        <v>00664297</v>
      </c>
    </row>
    <row r="2694" spans="1:2" x14ac:dyDescent="0.25">
      <c r="A2694" s="3">
        <v>2689</v>
      </c>
      <c r="B2694" s="3" t="str">
        <f>"00664301"</f>
        <v>00664301</v>
      </c>
    </row>
    <row r="2695" spans="1:2" x14ac:dyDescent="0.25">
      <c r="A2695" s="3">
        <v>2690</v>
      </c>
      <c r="B2695" s="3" t="str">
        <f>"00664312"</f>
        <v>00664312</v>
      </c>
    </row>
    <row r="2696" spans="1:2" x14ac:dyDescent="0.25">
      <c r="A2696" s="3">
        <v>2691</v>
      </c>
      <c r="B2696" s="3" t="str">
        <f>"00664385"</f>
        <v>00664385</v>
      </c>
    </row>
    <row r="2697" spans="1:2" x14ac:dyDescent="0.25">
      <c r="A2697" s="3">
        <v>2692</v>
      </c>
      <c r="B2697" s="3" t="str">
        <f>"00664413"</f>
        <v>00664413</v>
      </c>
    </row>
    <row r="2698" spans="1:2" x14ac:dyDescent="0.25">
      <c r="A2698" s="3">
        <v>2693</v>
      </c>
      <c r="B2698" s="3" t="str">
        <f>"00664455"</f>
        <v>00664455</v>
      </c>
    </row>
    <row r="2699" spans="1:2" x14ac:dyDescent="0.25">
      <c r="A2699" s="3">
        <v>2694</v>
      </c>
      <c r="B2699" s="3" t="str">
        <f>"00664456"</f>
        <v>00664456</v>
      </c>
    </row>
    <row r="2700" spans="1:2" x14ac:dyDescent="0.25">
      <c r="A2700" s="3">
        <v>2695</v>
      </c>
      <c r="B2700" s="3" t="str">
        <f>"00664523"</f>
        <v>00664523</v>
      </c>
    </row>
    <row r="2701" spans="1:2" x14ac:dyDescent="0.25">
      <c r="A2701" s="3">
        <v>2696</v>
      </c>
      <c r="B2701" s="3" t="str">
        <f>"00664536"</f>
        <v>00664536</v>
      </c>
    </row>
    <row r="2702" spans="1:2" x14ac:dyDescent="0.25">
      <c r="A2702" s="3">
        <v>2697</v>
      </c>
      <c r="B2702" s="3" t="str">
        <f>"00664548"</f>
        <v>00664548</v>
      </c>
    </row>
    <row r="2703" spans="1:2" x14ac:dyDescent="0.25">
      <c r="A2703" s="3">
        <v>2698</v>
      </c>
      <c r="B2703" s="3" t="str">
        <f>"00664575"</f>
        <v>00664575</v>
      </c>
    </row>
    <row r="2704" spans="1:2" x14ac:dyDescent="0.25">
      <c r="A2704" s="3">
        <v>2699</v>
      </c>
      <c r="B2704" s="3" t="str">
        <f>"00664672"</f>
        <v>00664672</v>
      </c>
    </row>
    <row r="2705" spans="1:2" x14ac:dyDescent="0.25">
      <c r="A2705" s="3">
        <v>2700</v>
      </c>
      <c r="B2705" s="3" t="str">
        <f>"00664689"</f>
        <v>00664689</v>
      </c>
    </row>
    <row r="2706" spans="1:2" x14ac:dyDescent="0.25">
      <c r="A2706" s="3">
        <v>2701</v>
      </c>
      <c r="B2706" s="3" t="str">
        <f>"00664749"</f>
        <v>00664749</v>
      </c>
    </row>
    <row r="2707" spans="1:2" x14ac:dyDescent="0.25">
      <c r="A2707" s="3">
        <v>2702</v>
      </c>
      <c r="B2707" s="3" t="str">
        <f>"00664775"</f>
        <v>00664775</v>
      </c>
    </row>
    <row r="2708" spans="1:2" x14ac:dyDescent="0.25">
      <c r="A2708" s="3">
        <v>2703</v>
      </c>
      <c r="B2708" s="3" t="str">
        <f>"00664776"</f>
        <v>00664776</v>
      </c>
    </row>
    <row r="2709" spans="1:2" x14ac:dyDescent="0.25">
      <c r="A2709" s="3">
        <v>2704</v>
      </c>
      <c r="B2709" s="3" t="str">
        <f>"00664781"</f>
        <v>00664781</v>
      </c>
    </row>
    <row r="2710" spans="1:2" x14ac:dyDescent="0.25">
      <c r="A2710" s="3">
        <v>2705</v>
      </c>
      <c r="B2710" s="3" t="str">
        <f>"00664835"</f>
        <v>00664835</v>
      </c>
    </row>
    <row r="2711" spans="1:2" x14ac:dyDescent="0.25">
      <c r="A2711" s="3">
        <v>2706</v>
      </c>
      <c r="B2711" s="3" t="str">
        <f>"00664841"</f>
        <v>00664841</v>
      </c>
    </row>
    <row r="2712" spans="1:2" x14ac:dyDescent="0.25">
      <c r="A2712" s="3">
        <v>2707</v>
      </c>
      <c r="B2712" s="3" t="str">
        <f>"00664862"</f>
        <v>00664862</v>
      </c>
    </row>
    <row r="2713" spans="1:2" x14ac:dyDescent="0.25">
      <c r="A2713" s="3">
        <v>2708</v>
      </c>
      <c r="B2713" s="3" t="str">
        <f>"00664933"</f>
        <v>00664933</v>
      </c>
    </row>
    <row r="2714" spans="1:2" x14ac:dyDescent="0.25">
      <c r="A2714" s="3">
        <v>2709</v>
      </c>
      <c r="B2714" s="3" t="str">
        <f>"00664962"</f>
        <v>00664962</v>
      </c>
    </row>
    <row r="2715" spans="1:2" x14ac:dyDescent="0.25">
      <c r="A2715" s="3">
        <v>2710</v>
      </c>
      <c r="B2715" s="3" t="str">
        <f>"00664977"</f>
        <v>00664977</v>
      </c>
    </row>
    <row r="2716" spans="1:2" x14ac:dyDescent="0.25">
      <c r="A2716" s="3">
        <v>2711</v>
      </c>
      <c r="B2716" s="3" t="str">
        <f>"00665030"</f>
        <v>00665030</v>
      </c>
    </row>
    <row r="2717" spans="1:2" x14ac:dyDescent="0.25">
      <c r="A2717" s="3">
        <v>2712</v>
      </c>
      <c r="B2717" s="3" t="str">
        <f>"00665042"</f>
        <v>00665042</v>
      </c>
    </row>
    <row r="2718" spans="1:2" x14ac:dyDescent="0.25">
      <c r="A2718" s="3">
        <v>2713</v>
      </c>
      <c r="B2718" s="3" t="str">
        <f>"00665105"</f>
        <v>00665105</v>
      </c>
    </row>
    <row r="2719" spans="1:2" x14ac:dyDescent="0.25">
      <c r="A2719" s="3">
        <v>2714</v>
      </c>
      <c r="B2719" s="3" t="str">
        <f>"00665111"</f>
        <v>00665111</v>
      </c>
    </row>
    <row r="2720" spans="1:2" x14ac:dyDescent="0.25">
      <c r="A2720" s="3">
        <v>2715</v>
      </c>
      <c r="B2720" s="3" t="str">
        <f>"00665155"</f>
        <v>00665155</v>
      </c>
    </row>
    <row r="2721" spans="1:2" x14ac:dyDescent="0.25">
      <c r="A2721" s="3">
        <v>2716</v>
      </c>
      <c r="B2721" s="3" t="str">
        <f>"00665196"</f>
        <v>00665196</v>
      </c>
    </row>
    <row r="2722" spans="1:2" x14ac:dyDescent="0.25">
      <c r="A2722" s="3">
        <v>2717</v>
      </c>
      <c r="B2722" s="3" t="str">
        <f>"00665240"</f>
        <v>00665240</v>
      </c>
    </row>
    <row r="2723" spans="1:2" x14ac:dyDescent="0.25">
      <c r="A2723" s="3">
        <v>2718</v>
      </c>
      <c r="B2723" s="3" t="str">
        <f>"00665251"</f>
        <v>00665251</v>
      </c>
    </row>
    <row r="2724" spans="1:2" x14ac:dyDescent="0.25">
      <c r="A2724" s="3">
        <v>2719</v>
      </c>
      <c r="B2724" s="3" t="str">
        <f>"00665256"</f>
        <v>00665256</v>
      </c>
    </row>
    <row r="2725" spans="1:2" x14ac:dyDescent="0.25">
      <c r="A2725" s="3">
        <v>2720</v>
      </c>
      <c r="B2725" s="3" t="str">
        <f>"00665264"</f>
        <v>00665264</v>
      </c>
    </row>
    <row r="2726" spans="1:2" x14ac:dyDescent="0.25">
      <c r="A2726" s="3">
        <v>2721</v>
      </c>
      <c r="B2726" s="3" t="str">
        <f>"00665295"</f>
        <v>00665295</v>
      </c>
    </row>
    <row r="2727" spans="1:2" x14ac:dyDescent="0.25">
      <c r="A2727" s="3">
        <v>2722</v>
      </c>
      <c r="B2727" s="3" t="str">
        <f>"00665311"</f>
        <v>00665311</v>
      </c>
    </row>
    <row r="2728" spans="1:2" x14ac:dyDescent="0.25">
      <c r="A2728" s="3">
        <v>2723</v>
      </c>
      <c r="B2728" s="3" t="str">
        <f>"00665315"</f>
        <v>00665315</v>
      </c>
    </row>
    <row r="2729" spans="1:2" x14ac:dyDescent="0.25">
      <c r="A2729" s="3">
        <v>2724</v>
      </c>
      <c r="B2729" s="3" t="str">
        <f>"00665338"</f>
        <v>00665338</v>
      </c>
    </row>
    <row r="2730" spans="1:2" x14ac:dyDescent="0.25">
      <c r="A2730" s="3">
        <v>2725</v>
      </c>
      <c r="B2730" s="3" t="str">
        <f>"00665406"</f>
        <v>00665406</v>
      </c>
    </row>
    <row r="2731" spans="1:2" x14ac:dyDescent="0.25">
      <c r="A2731" s="3">
        <v>2726</v>
      </c>
      <c r="B2731" s="3" t="str">
        <f>"00665426"</f>
        <v>00665426</v>
      </c>
    </row>
    <row r="2732" spans="1:2" x14ac:dyDescent="0.25">
      <c r="A2732" s="3">
        <v>2727</v>
      </c>
      <c r="B2732" s="3" t="str">
        <f>"00665439"</f>
        <v>00665439</v>
      </c>
    </row>
    <row r="2733" spans="1:2" x14ac:dyDescent="0.25">
      <c r="A2733" s="3">
        <v>2728</v>
      </c>
      <c r="B2733" s="3" t="str">
        <f>"00665453"</f>
        <v>00665453</v>
      </c>
    </row>
    <row r="2734" spans="1:2" x14ac:dyDescent="0.25">
      <c r="A2734" s="3">
        <v>2729</v>
      </c>
      <c r="B2734" s="3" t="str">
        <f>"00665466"</f>
        <v>00665466</v>
      </c>
    </row>
    <row r="2735" spans="1:2" x14ac:dyDescent="0.25">
      <c r="A2735" s="3">
        <v>2730</v>
      </c>
      <c r="B2735" s="3" t="str">
        <f>"00665641"</f>
        <v>00665641</v>
      </c>
    </row>
    <row r="2736" spans="1:2" x14ac:dyDescent="0.25">
      <c r="A2736" s="3">
        <v>2731</v>
      </c>
      <c r="B2736" s="3" t="str">
        <f>"00665695"</f>
        <v>00665695</v>
      </c>
    </row>
    <row r="2737" spans="1:2" x14ac:dyDescent="0.25">
      <c r="A2737" s="3">
        <v>2732</v>
      </c>
      <c r="B2737" s="3" t="str">
        <f>"00665706"</f>
        <v>00665706</v>
      </c>
    </row>
    <row r="2738" spans="1:2" x14ac:dyDescent="0.25">
      <c r="A2738" s="3">
        <v>2733</v>
      </c>
      <c r="B2738" s="3" t="str">
        <f>"00665710"</f>
        <v>00665710</v>
      </c>
    </row>
    <row r="2739" spans="1:2" x14ac:dyDescent="0.25">
      <c r="A2739" s="3">
        <v>2734</v>
      </c>
      <c r="B2739" s="3" t="str">
        <f>"00665711"</f>
        <v>00665711</v>
      </c>
    </row>
    <row r="2740" spans="1:2" x14ac:dyDescent="0.25">
      <c r="A2740" s="3">
        <v>2735</v>
      </c>
      <c r="B2740" s="3" t="str">
        <f>"00665717"</f>
        <v>00665717</v>
      </c>
    </row>
    <row r="2741" spans="1:2" x14ac:dyDescent="0.25">
      <c r="A2741" s="3">
        <v>2736</v>
      </c>
      <c r="B2741" s="3" t="str">
        <f>"00665765"</f>
        <v>00665765</v>
      </c>
    </row>
    <row r="2742" spans="1:2" x14ac:dyDescent="0.25">
      <c r="A2742" s="3">
        <v>2737</v>
      </c>
      <c r="B2742" s="3" t="str">
        <f>"00665772"</f>
        <v>00665772</v>
      </c>
    </row>
    <row r="2743" spans="1:2" x14ac:dyDescent="0.25">
      <c r="A2743" s="3">
        <v>2738</v>
      </c>
      <c r="B2743" s="3" t="str">
        <f>"00665826"</f>
        <v>00665826</v>
      </c>
    </row>
    <row r="2744" spans="1:2" x14ac:dyDescent="0.25">
      <c r="A2744" s="3">
        <v>2739</v>
      </c>
      <c r="B2744" s="3" t="str">
        <f>"00665840"</f>
        <v>00665840</v>
      </c>
    </row>
    <row r="2745" spans="1:2" x14ac:dyDescent="0.25">
      <c r="A2745" s="3">
        <v>2740</v>
      </c>
      <c r="B2745" s="3" t="str">
        <f>"00665845"</f>
        <v>00665845</v>
      </c>
    </row>
    <row r="2746" spans="1:2" x14ac:dyDescent="0.25">
      <c r="A2746" s="3">
        <v>2741</v>
      </c>
      <c r="B2746" s="3" t="str">
        <f>"00665858"</f>
        <v>00665858</v>
      </c>
    </row>
    <row r="2747" spans="1:2" x14ac:dyDescent="0.25">
      <c r="A2747" s="3">
        <v>2742</v>
      </c>
      <c r="B2747" s="3" t="str">
        <f>"00665875"</f>
        <v>00665875</v>
      </c>
    </row>
    <row r="2748" spans="1:2" x14ac:dyDescent="0.25">
      <c r="A2748" s="3">
        <v>2743</v>
      </c>
      <c r="B2748" s="3" t="str">
        <f>"00665878"</f>
        <v>00665878</v>
      </c>
    </row>
    <row r="2749" spans="1:2" x14ac:dyDescent="0.25">
      <c r="A2749" s="3">
        <v>2744</v>
      </c>
      <c r="B2749" s="3" t="str">
        <f>"00665886"</f>
        <v>00665886</v>
      </c>
    </row>
    <row r="2750" spans="1:2" x14ac:dyDescent="0.25">
      <c r="A2750" s="3">
        <v>2745</v>
      </c>
      <c r="B2750" s="3" t="str">
        <f>"00665888"</f>
        <v>00665888</v>
      </c>
    </row>
    <row r="2751" spans="1:2" x14ac:dyDescent="0.25">
      <c r="A2751" s="3">
        <v>2746</v>
      </c>
      <c r="B2751" s="3" t="str">
        <f>"00665891"</f>
        <v>00665891</v>
      </c>
    </row>
    <row r="2752" spans="1:2" x14ac:dyDescent="0.25">
      <c r="A2752" s="3">
        <v>2747</v>
      </c>
      <c r="B2752" s="3" t="str">
        <f>"00665899"</f>
        <v>00665899</v>
      </c>
    </row>
    <row r="2753" spans="1:2" x14ac:dyDescent="0.25">
      <c r="A2753" s="3">
        <v>2748</v>
      </c>
      <c r="B2753" s="3" t="str">
        <f>"00665913"</f>
        <v>00665913</v>
      </c>
    </row>
    <row r="2754" spans="1:2" x14ac:dyDescent="0.25">
      <c r="A2754" s="3">
        <v>2749</v>
      </c>
      <c r="B2754" s="3" t="str">
        <f>"00665923"</f>
        <v>00665923</v>
      </c>
    </row>
    <row r="2755" spans="1:2" x14ac:dyDescent="0.25">
      <c r="A2755" s="3">
        <v>2750</v>
      </c>
      <c r="B2755" s="3" t="str">
        <f>"00665935"</f>
        <v>00665935</v>
      </c>
    </row>
    <row r="2756" spans="1:2" x14ac:dyDescent="0.25">
      <c r="A2756" s="3">
        <v>2751</v>
      </c>
      <c r="B2756" s="3" t="str">
        <f>"00665962"</f>
        <v>00665962</v>
      </c>
    </row>
    <row r="2757" spans="1:2" x14ac:dyDescent="0.25">
      <c r="A2757" s="3">
        <v>2752</v>
      </c>
      <c r="B2757" s="3" t="str">
        <f>"00665973"</f>
        <v>00665973</v>
      </c>
    </row>
    <row r="2758" spans="1:2" x14ac:dyDescent="0.25">
      <c r="A2758" s="3">
        <v>2753</v>
      </c>
      <c r="B2758" s="3" t="str">
        <f>"00665987"</f>
        <v>00665987</v>
      </c>
    </row>
    <row r="2759" spans="1:2" x14ac:dyDescent="0.25">
      <c r="A2759" s="3">
        <v>2754</v>
      </c>
      <c r="B2759" s="3" t="str">
        <f>"00666006"</f>
        <v>00666006</v>
      </c>
    </row>
    <row r="2760" spans="1:2" x14ac:dyDescent="0.25">
      <c r="A2760" s="3">
        <v>2755</v>
      </c>
      <c r="B2760" s="3" t="str">
        <f>"00666012"</f>
        <v>00666012</v>
      </c>
    </row>
    <row r="2761" spans="1:2" x14ac:dyDescent="0.25">
      <c r="A2761" s="3">
        <v>2756</v>
      </c>
      <c r="B2761" s="3" t="str">
        <f>"00666021"</f>
        <v>00666021</v>
      </c>
    </row>
    <row r="2762" spans="1:2" x14ac:dyDescent="0.25">
      <c r="A2762" s="3">
        <v>2757</v>
      </c>
      <c r="B2762" s="3" t="str">
        <f>"00666025"</f>
        <v>00666025</v>
      </c>
    </row>
    <row r="2763" spans="1:2" x14ac:dyDescent="0.25">
      <c r="A2763" s="3">
        <v>2758</v>
      </c>
      <c r="B2763" s="3" t="str">
        <f>"00666034"</f>
        <v>00666034</v>
      </c>
    </row>
    <row r="2764" spans="1:2" x14ac:dyDescent="0.25">
      <c r="A2764" s="3">
        <v>2759</v>
      </c>
      <c r="B2764" s="3" t="str">
        <f>"00666039"</f>
        <v>00666039</v>
      </c>
    </row>
    <row r="2765" spans="1:2" x14ac:dyDescent="0.25">
      <c r="A2765" s="3">
        <v>2760</v>
      </c>
      <c r="B2765" s="3" t="str">
        <f>"00666045"</f>
        <v>00666045</v>
      </c>
    </row>
    <row r="2766" spans="1:2" x14ac:dyDescent="0.25">
      <c r="A2766" s="3">
        <v>2761</v>
      </c>
      <c r="B2766" s="3" t="str">
        <f>"00666046"</f>
        <v>00666046</v>
      </c>
    </row>
    <row r="2767" spans="1:2" x14ac:dyDescent="0.25">
      <c r="A2767" s="3">
        <v>2762</v>
      </c>
      <c r="B2767" s="3" t="str">
        <f>"00666107"</f>
        <v>00666107</v>
      </c>
    </row>
    <row r="2768" spans="1:2" x14ac:dyDescent="0.25">
      <c r="A2768" s="3">
        <v>2763</v>
      </c>
      <c r="B2768" s="3" t="str">
        <f>"00666109"</f>
        <v>00666109</v>
      </c>
    </row>
    <row r="2769" spans="1:2" x14ac:dyDescent="0.25">
      <c r="A2769" s="3">
        <v>2764</v>
      </c>
      <c r="B2769" s="3" t="str">
        <f>"00666115"</f>
        <v>00666115</v>
      </c>
    </row>
    <row r="2770" spans="1:2" x14ac:dyDescent="0.25">
      <c r="A2770" s="3">
        <v>2765</v>
      </c>
      <c r="B2770" s="3" t="str">
        <f>"00666116"</f>
        <v>00666116</v>
      </c>
    </row>
    <row r="2771" spans="1:2" x14ac:dyDescent="0.25">
      <c r="A2771" s="3">
        <v>2766</v>
      </c>
      <c r="B2771" s="3" t="str">
        <f>"00666122"</f>
        <v>00666122</v>
      </c>
    </row>
    <row r="2772" spans="1:2" x14ac:dyDescent="0.25">
      <c r="A2772" s="3">
        <v>2767</v>
      </c>
      <c r="B2772" s="3" t="str">
        <f>"00666161"</f>
        <v>00666161</v>
      </c>
    </row>
    <row r="2773" spans="1:2" x14ac:dyDescent="0.25">
      <c r="A2773" s="3">
        <v>2768</v>
      </c>
      <c r="B2773" s="3" t="str">
        <f>"00666190"</f>
        <v>00666190</v>
      </c>
    </row>
    <row r="2774" spans="1:2" x14ac:dyDescent="0.25">
      <c r="A2774" s="3">
        <v>2769</v>
      </c>
      <c r="B2774" s="3" t="str">
        <f>"00666193"</f>
        <v>00666193</v>
      </c>
    </row>
    <row r="2775" spans="1:2" x14ac:dyDescent="0.25">
      <c r="A2775" s="3">
        <v>2770</v>
      </c>
      <c r="B2775" s="3" t="str">
        <f>"00666195"</f>
        <v>00666195</v>
      </c>
    </row>
    <row r="2776" spans="1:2" x14ac:dyDescent="0.25">
      <c r="A2776" s="3">
        <v>2771</v>
      </c>
      <c r="B2776" s="3" t="str">
        <f>"00666198"</f>
        <v>00666198</v>
      </c>
    </row>
    <row r="2777" spans="1:2" x14ac:dyDescent="0.25">
      <c r="A2777" s="3">
        <v>2772</v>
      </c>
      <c r="B2777" s="3" t="str">
        <f>"00666222"</f>
        <v>00666222</v>
      </c>
    </row>
    <row r="2778" spans="1:2" x14ac:dyDescent="0.25">
      <c r="A2778" s="3">
        <v>2773</v>
      </c>
      <c r="B2778" s="3" t="str">
        <f>"00666273"</f>
        <v>00666273</v>
      </c>
    </row>
    <row r="2779" spans="1:2" x14ac:dyDescent="0.25">
      <c r="A2779" s="3">
        <v>2774</v>
      </c>
      <c r="B2779" s="3" t="str">
        <f>"00666274"</f>
        <v>00666274</v>
      </c>
    </row>
    <row r="2780" spans="1:2" x14ac:dyDescent="0.25">
      <c r="A2780" s="3">
        <v>2775</v>
      </c>
      <c r="B2780" s="3" t="str">
        <f>"00666292"</f>
        <v>00666292</v>
      </c>
    </row>
    <row r="2781" spans="1:2" x14ac:dyDescent="0.25">
      <c r="A2781" s="3">
        <v>2776</v>
      </c>
      <c r="B2781" s="3" t="str">
        <f>"00666295"</f>
        <v>00666295</v>
      </c>
    </row>
    <row r="2782" spans="1:2" x14ac:dyDescent="0.25">
      <c r="A2782" s="3">
        <v>2777</v>
      </c>
      <c r="B2782" s="3" t="str">
        <f>"00666305"</f>
        <v>00666305</v>
      </c>
    </row>
    <row r="2783" spans="1:2" x14ac:dyDescent="0.25">
      <c r="A2783" s="3">
        <v>2778</v>
      </c>
      <c r="B2783" s="3" t="str">
        <f>"00666342"</f>
        <v>00666342</v>
      </c>
    </row>
    <row r="2784" spans="1:2" x14ac:dyDescent="0.25">
      <c r="A2784" s="3">
        <v>2779</v>
      </c>
      <c r="B2784" s="3" t="str">
        <f>"00666380"</f>
        <v>00666380</v>
      </c>
    </row>
    <row r="2785" spans="1:2" x14ac:dyDescent="0.25">
      <c r="A2785" s="3">
        <v>2780</v>
      </c>
      <c r="B2785" s="3" t="str">
        <f>"00666397"</f>
        <v>00666397</v>
      </c>
    </row>
    <row r="2786" spans="1:2" x14ac:dyDescent="0.25">
      <c r="A2786" s="3">
        <v>2781</v>
      </c>
      <c r="B2786" s="3" t="str">
        <f>"00666399"</f>
        <v>00666399</v>
      </c>
    </row>
    <row r="2787" spans="1:2" x14ac:dyDescent="0.25">
      <c r="A2787" s="3">
        <v>2782</v>
      </c>
      <c r="B2787" s="3" t="str">
        <f>"00666511"</f>
        <v>00666511</v>
      </c>
    </row>
    <row r="2788" spans="1:2" x14ac:dyDescent="0.25">
      <c r="A2788" s="3">
        <v>2783</v>
      </c>
      <c r="B2788" s="3" t="str">
        <f>"00666512"</f>
        <v>00666512</v>
      </c>
    </row>
    <row r="2789" spans="1:2" x14ac:dyDescent="0.25">
      <c r="A2789" s="3">
        <v>2784</v>
      </c>
      <c r="B2789" s="3" t="str">
        <f>"00666572"</f>
        <v>00666572</v>
      </c>
    </row>
    <row r="2790" spans="1:2" x14ac:dyDescent="0.25">
      <c r="A2790" s="3">
        <v>2785</v>
      </c>
      <c r="B2790" s="3" t="str">
        <f>"00666615"</f>
        <v>00666615</v>
      </c>
    </row>
    <row r="2791" spans="1:2" x14ac:dyDescent="0.25">
      <c r="A2791" s="3">
        <v>2786</v>
      </c>
      <c r="B2791" s="3" t="str">
        <f>"00666643"</f>
        <v>00666643</v>
      </c>
    </row>
    <row r="2792" spans="1:2" x14ac:dyDescent="0.25">
      <c r="A2792" s="3">
        <v>2787</v>
      </c>
      <c r="B2792" s="3" t="str">
        <f>"00666698"</f>
        <v>00666698</v>
      </c>
    </row>
    <row r="2793" spans="1:2" x14ac:dyDescent="0.25">
      <c r="A2793" s="3">
        <v>2788</v>
      </c>
      <c r="B2793" s="3" t="str">
        <f>"00666711"</f>
        <v>00666711</v>
      </c>
    </row>
    <row r="2794" spans="1:2" x14ac:dyDescent="0.25">
      <c r="A2794" s="3">
        <v>2789</v>
      </c>
      <c r="B2794" s="3" t="str">
        <f>"00666726"</f>
        <v>00666726</v>
      </c>
    </row>
    <row r="2795" spans="1:2" x14ac:dyDescent="0.25">
      <c r="A2795" s="3">
        <v>2790</v>
      </c>
      <c r="B2795" s="3" t="str">
        <f>"00666727"</f>
        <v>00666727</v>
      </c>
    </row>
    <row r="2796" spans="1:2" x14ac:dyDescent="0.25">
      <c r="A2796" s="3">
        <v>2791</v>
      </c>
      <c r="B2796" s="3" t="str">
        <f>"00666740"</f>
        <v>00666740</v>
      </c>
    </row>
    <row r="2797" spans="1:2" x14ac:dyDescent="0.25">
      <c r="A2797" s="3">
        <v>2792</v>
      </c>
      <c r="B2797" s="3" t="str">
        <f>"00666749"</f>
        <v>00666749</v>
      </c>
    </row>
    <row r="2798" spans="1:2" x14ac:dyDescent="0.25">
      <c r="A2798" s="3">
        <v>2793</v>
      </c>
      <c r="B2798" s="3" t="str">
        <f>"00666759"</f>
        <v>00666759</v>
      </c>
    </row>
    <row r="2799" spans="1:2" x14ac:dyDescent="0.25">
      <c r="A2799" s="3">
        <v>2794</v>
      </c>
      <c r="B2799" s="3" t="str">
        <f>"00666778"</f>
        <v>00666778</v>
      </c>
    </row>
    <row r="2800" spans="1:2" x14ac:dyDescent="0.25">
      <c r="A2800" s="3">
        <v>2795</v>
      </c>
      <c r="B2800" s="3" t="str">
        <f>"00666792"</f>
        <v>00666792</v>
      </c>
    </row>
    <row r="2801" spans="1:2" x14ac:dyDescent="0.25">
      <c r="A2801" s="3">
        <v>2796</v>
      </c>
      <c r="B2801" s="3" t="str">
        <f>"00666793"</f>
        <v>00666793</v>
      </c>
    </row>
    <row r="2802" spans="1:2" x14ac:dyDescent="0.25">
      <c r="A2802" s="3">
        <v>2797</v>
      </c>
      <c r="B2802" s="3" t="str">
        <f>"00666800"</f>
        <v>00666800</v>
      </c>
    </row>
    <row r="2803" spans="1:2" x14ac:dyDescent="0.25">
      <c r="A2803" s="3">
        <v>2798</v>
      </c>
      <c r="B2803" s="3" t="str">
        <f>"00666804"</f>
        <v>00666804</v>
      </c>
    </row>
    <row r="2804" spans="1:2" x14ac:dyDescent="0.25">
      <c r="A2804" s="3">
        <v>2799</v>
      </c>
      <c r="B2804" s="3" t="str">
        <f>"00666812"</f>
        <v>00666812</v>
      </c>
    </row>
    <row r="2805" spans="1:2" x14ac:dyDescent="0.25">
      <c r="A2805" s="3">
        <v>2800</v>
      </c>
      <c r="B2805" s="3" t="str">
        <f>"00666813"</f>
        <v>00666813</v>
      </c>
    </row>
    <row r="2806" spans="1:2" x14ac:dyDescent="0.25">
      <c r="A2806" s="3">
        <v>2801</v>
      </c>
      <c r="B2806" s="3" t="str">
        <f>"00666817"</f>
        <v>00666817</v>
      </c>
    </row>
    <row r="2807" spans="1:2" x14ac:dyDescent="0.25">
      <c r="A2807" s="3">
        <v>2802</v>
      </c>
      <c r="B2807" s="3" t="str">
        <f>"00666823"</f>
        <v>00666823</v>
      </c>
    </row>
    <row r="2808" spans="1:2" x14ac:dyDescent="0.25">
      <c r="A2808" s="3">
        <v>2803</v>
      </c>
      <c r="B2808" s="3" t="str">
        <f>"00666828"</f>
        <v>00666828</v>
      </c>
    </row>
    <row r="2809" spans="1:2" x14ac:dyDescent="0.25">
      <c r="A2809" s="3">
        <v>2804</v>
      </c>
      <c r="B2809" s="3" t="str">
        <f>"00666834"</f>
        <v>00666834</v>
      </c>
    </row>
    <row r="2810" spans="1:2" x14ac:dyDescent="0.25">
      <c r="A2810" s="3">
        <v>2805</v>
      </c>
      <c r="B2810" s="3" t="str">
        <f>"00666899"</f>
        <v>00666899</v>
      </c>
    </row>
    <row r="2811" spans="1:2" x14ac:dyDescent="0.25">
      <c r="A2811" s="3">
        <v>2806</v>
      </c>
      <c r="B2811" s="3" t="str">
        <f>"00666900"</f>
        <v>00666900</v>
      </c>
    </row>
    <row r="2812" spans="1:2" x14ac:dyDescent="0.25">
      <c r="A2812" s="3">
        <v>2807</v>
      </c>
      <c r="B2812" s="3" t="str">
        <f>"00666910"</f>
        <v>00666910</v>
      </c>
    </row>
    <row r="2813" spans="1:2" x14ac:dyDescent="0.25">
      <c r="A2813" s="3">
        <v>2808</v>
      </c>
      <c r="B2813" s="3" t="str">
        <f>"00666920"</f>
        <v>00666920</v>
      </c>
    </row>
    <row r="2814" spans="1:2" x14ac:dyDescent="0.25">
      <c r="A2814" s="3">
        <v>2809</v>
      </c>
      <c r="B2814" s="3" t="str">
        <f>"00666923"</f>
        <v>00666923</v>
      </c>
    </row>
    <row r="2815" spans="1:2" x14ac:dyDescent="0.25">
      <c r="A2815" s="3">
        <v>2810</v>
      </c>
      <c r="B2815" s="3" t="str">
        <f>"00666947"</f>
        <v>00666947</v>
      </c>
    </row>
    <row r="2816" spans="1:2" x14ac:dyDescent="0.25">
      <c r="A2816" s="3">
        <v>2811</v>
      </c>
      <c r="B2816" s="3" t="str">
        <f>"00666997"</f>
        <v>00666997</v>
      </c>
    </row>
    <row r="2817" spans="1:2" x14ac:dyDescent="0.25">
      <c r="A2817" s="3">
        <v>2812</v>
      </c>
      <c r="B2817" s="3" t="str">
        <f>"00667002"</f>
        <v>00667002</v>
      </c>
    </row>
    <row r="2818" spans="1:2" x14ac:dyDescent="0.25">
      <c r="A2818" s="3">
        <v>2813</v>
      </c>
      <c r="B2818" s="3" t="str">
        <f>"00667020"</f>
        <v>00667020</v>
      </c>
    </row>
    <row r="2819" spans="1:2" x14ac:dyDescent="0.25">
      <c r="A2819" s="3">
        <v>2814</v>
      </c>
      <c r="B2819" s="3" t="str">
        <f>"00667029"</f>
        <v>00667029</v>
      </c>
    </row>
    <row r="2820" spans="1:2" x14ac:dyDescent="0.25">
      <c r="A2820" s="3">
        <v>2815</v>
      </c>
      <c r="B2820" s="3" t="str">
        <f>"00667031"</f>
        <v>00667031</v>
      </c>
    </row>
    <row r="2821" spans="1:2" x14ac:dyDescent="0.25">
      <c r="A2821" s="3">
        <v>2816</v>
      </c>
      <c r="B2821" s="3" t="str">
        <f>"00667053"</f>
        <v>00667053</v>
      </c>
    </row>
    <row r="2822" spans="1:2" x14ac:dyDescent="0.25">
      <c r="A2822" s="3">
        <v>2817</v>
      </c>
      <c r="B2822" s="3" t="str">
        <f>"00667055"</f>
        <v>00667055</v>
      </c>
    </row>
    <row r="2823" spans="1:2" x14ac:dyDescent="0.25">
      <c r="A2823" s="3">
        <v>2818</v>
      </c>
      <c r="B2823" s="3" t="str">
        <f>"00667100"</f>
        <v>00667100</v>
      </c>
    </row>
    <row r="2824" spans="1:2" x14ac:dyDescent="0.25">
      <c r="A2824" s="3">
        <v>2819</v>
      </c>
      <c r="B2824" s="3" t="str">
        <f>"00667130"</f>
        <v>00667130</v>
      </c>
    </row>
    <row r="2825" spans="1:2" x14ac:dyDescent="0.25">
      <c r="A2825" s="3">
        <v>2820</v>
      </c>
      <c r="B2825" s="3" t="str">
        <f>"00667150"</f>
        <v>00667150</v>
      </c>
    </row>
    <row r="2826" spans="1:2" x14ac:dyDescent="0.25">
      <c r="A2826" s="3">
        <v>2821</v>
      </c>
      <c r="B2826" s="3" t="str">
        <f>"00667180"</f>
        <v>00667180</v>
      </c>
    </row>
    <row r="2827" spans="1:2" x14ac:dyDescent="0.25">
      <c r="A2827" s="3">
        <v>2822</v>
      </c>
      <c r="B2827" s="3" t="str">
        <f>"00667200"</f>
        <v>00667200</v>
      </c>
    </row>
    <row r="2828" spans="1:2" x14ac:dyDescent="0.25">
      <c r="A2828" s="3">
        <v>2823</v>
      </c>
      <c r="B2828" s="3" t="str">
        <f>"00667254"</f>
        <v>00667254</v>
      </c>
    </row>
    <row r="2829" spans="1:2" x14ac:dyDescent="0.25">
      <c r="A2829" s="3">
        <v>2824</v>
      </c>
      <c r="B2829" s="3" t="str">
        <f>"00667269"</f>
        <v>00667269</v>
      </c>
    </row>
    <row r="2830" spans="1:2" x14ac:dyDescent="0.25">
      <c r="A2830" s="3">
        <v>2825</v>
      </c>
      <c r="B2830" s="3" t="str">
        <f>"00667296"</f>
        <v>00667296</v>
      </c>
    </row>
    <row r="2831" spans="1:2" x14ac:dyDescent="0.25">
      <c r="A2831" s="3">
        <v>2826</v>
      </c>
      <c r="B2831" s="3" t="str">
        <f>"00667297"</f>
        <v>00667297</v>
      </c>
    </row>
    <row r="2832" spans="1:2" x14ac:dyDescent="0.25">
      <c r="A2832" s="3">
        <v>2827</v>
      </c>
      <c r="B2832" s="3" t="str">
        <f>"00667304"</f>
        <v>00667304</v>
      </c>
    </row>
    <row r="2833" spans="1:2" x14ac:dyDescent="0.25">
      <c r="A2833" s="3">
        <v>2828</v>
      </c>
      <c r="B2833" s="3" t="str">
        <f>"00667374"</f>
        <v>00667374</v>
      </c>
    </row>
    <row r="2834" spans="1:2" x14ac:dyDescent="0.25">
      <c r="A2834" s="3">
        <v>2829</v>
      </c>
      <c r="B2834" s="3" t="str">
        <f>"00667376"</f>
        <v>00667376</v>
      </c>
    </row>
    <row r="2835" spans="1:2" x14ac:dyDescent="0.25">
      <c r="A2835" s="3">
        <v>2830</v>
      </c>
      <c r="B2835" s="3" t="str">
        <f>"00667379"</f>
        <v>00667379</v>
      </c>
    </row>
    <row r="2836" spans="1:2" x14ac:dyDescent="0.25">
      <c r="A2836" s="3">
        <v>2831</v>
      </c>
      <c r="B2836" s="3" t="str">
        <f>"00667383"</f>
        <v>00667383</v>
      </c>
    </row>
    <row r="2837" spans="1:2" x14ac:dyDescent="0.25">
      <c r="A2837" s="3">
        <v>2832</v>
      </c>
      <c r="B2837" s="3" t="str">
        <f>"00667419"</f>
        <v>00667419</v>
      </c>
    </row>
    <row r="2838" spans="1:2" x14ac:dyDescent="0.25">
      <c r="A2838" s="3">
        <v>2833</v>
      </c>
      <c r="B2838" s="3" t="str">
        <f>"00667470"</f>
        <v>00667470</v>
      </c>
    </row>
    <row r="2839" spans="1:2" x14ac:dyDescent="0.25">
      <c r="A2839" s="3">
        <v>2834</v>
      </c>
      <c r="B2839" s="3" t="str">
        <f>"00667471"</f>
        <v>00667471</v>
      </c>
    </row>
    <row r="2840" spans="1:2" x14ac:dyDescent="0.25">
      <c r="A2840" s="3">
        <v>2835</v>
      </c>
      <c r="B2840" s="3" t="str">
        <f>"00667472"</f>
        <v>00667472</v>
      </c>
    </row>
    <row r="2841" spans="1:2" x14ac:dyDescent="0.25">
      <c r="A2841" s="3">
        <v>2836</v>
      </c>
      <c r="B2841" s="3" t="str">
        <f>"00667537"</f>
        <v>00667537</v>
      </c>
    </row>
    <row r="2842" spans="1:2" x14ac:dyDescent="0.25">
      <c r="A2842" s="3">
        <v>2837</v>
      </c>
      <c r="B2842" s="3" t="str">
        <f>"00667555"</f>
        <v>00667555</v>
      </c>
    </row>
    <row r="2843" spans="1:2" x14ac:dyDescent="0.25">
      <c r="A2843" s="3">
        <v>2838</v>
      </c>
      <c r="B2843" s="3" t="str">
        <f>"00667568"</f>
        <v>00667568</v>
      </c>
    </row>
    <row r="2844" spans="1:2" x14ac:dyDescent="0.25">
      <c r="A2844" s="3">
        <v>2839</v>
      </c>
      <c r="B2844" s="3" t="str">
        <f>"00667587"</f>
        <v>00667587</v>
      </c>
    </row>
    <row r="2845" spans="1:2" x14ac:dyDescent="0.25">
      <c r="A2845" s="3">
        <v>2840</v>
      </c>
      <c r="B2845" s="3" t="str">
        <f>"00667622"</f>
        <v>00667622</v>
      </c>
    </row>
    <row r="2846" spans="1:2" x14ac:dyDescent="0.25">
      <c r="A2846" s="3">
        <v>2841</v>
      </c>
      <c r="B2846" s="3" t="str">
        <f>"00667636"</f>
        <v>00667636</v>
      </c>
    </row>
    <row r="2847" spans="1:2" x14ac:dyDescent="0.25">
      <c r="A2847" s="3">
        <v>2842</v>
      </c>
      <c r="B2847" s="3" t="str">
        <f>"00667643"</f>
        <v>00667643</v>
      </c>
    </row>
    <row r="2848" spans="1:2" x14ac:dyDescent="0.25">
      <c r="A2848" s="3">
        <v>2843</v>
      </c>
      <c r="B2848" s="3" t="str">
        <f>"00667696"</f>
        <v>00667696</v>
      </c>
    </row>
    <row r="2849" spans="1:2" x14ac:dyDescent="0.25">
      <c r="A2849" s="3">
        <v>2844</v>
      </c>
      <c r="B2849" s="3" t="str">
        <f>"00667761"</f>
        <v>00667761</v>
      </c>
    </row>
    <row r="2850" spans="1:2" x14ac:dyDescent="0.25">
      <c r="A2850" s="3">
        <v>2845</v>
      </c>
      <c r="B2850" s="3" t="str">
        <f>"00667808"</f>
        <v>00667808</v>
      </c>
    </row>
    <row r="2851" spans="1:2" x14ac:dyDescent="0.25">
      <c r="A2851" s="3">
        <v>2846</v>
      </c>
      <c r="B2851" s="3" t="str">
        <f>"00667846"</f>
        <v>00667846</v>
      </c>
    </row>
    <row r="2852" spans="1:2" x14ac:dyDescent="0.25">
      <c r="A2852" s="3">
        <v>2847</v>
      </c>
      <c r="B2852" s="3" t="str">
        <f>"00667853"</f>
        <v>00667853</v>
      </c>
    </row>
    <row r="2853" spans="1:2" x14ac:dyDescent="0.25">
      <c r="A2853" s="3">
        <v>2848</v>
      </c>
      <c r="B2853" s="3" t="str">
        <f>"00667896"</f>
        <v>00667896</v>
      </c>
    </row>
    <row r="2854" spans="1:2" x14ac:dyDescent="0.25">
      <c r="A2854" s="3">
        <v>2849</v>
      </c>
      <c r="B2854" s="3" t="str">
        <f>"00667929"</f>
        <v>00667929</v>
      </c>
    </row>
    <row r="2855" spans="1:2" x14ac:dyDescent="0.25">
      <c r="A2855" s="3">
        <v>2850</v>
      </c>
      <c r="B2855" s="3" t="str">
        <f>"00667939"</f>
        <v>00667939</v>
      </c>
    </row>
    <row r="2856" spans="1:2" x14ac:dyDescent="0.25">
      <c r="A2856" s="3">
        <v>2851</v>
      </c>
      <c r="B2856" s="3" t="str">
        <f>"00667970"</f>
        <v>00667970</v>
      </c>
    </row>
    <row r="2857" spans="1:2" x14ac:dyDescent="0.25">
      <c r="A2857" s="3">
        <v>2852</v>
      </c>
      <c r="B2857" s="3" t="str">
        <f>"00667979"</f>
        <v>00667979</v>
      </c>
    </row>
    <row r="2858" spans="1:2" x14ac:dyDescent="0.25">
      <c r="A2858" s="3">
        <v>2853</v>
      </c>
      <c r="B2858" s="3" t="str">
        <f>"00667988"</f>
        <v>00667988</v>
      </c>
    </row>
    <row r="2859" spans="1:2" x14ac:dyDescent="0.25">
      <c r="A2859" s="3">
        <v>2854</v>
      </c>
      <c r="B2859" s="3" t="str">
        <f>"00668067"</f>
        <v>00668067</v>
      </c>
    </row>
    <row r="2860" spans="1:2" x14ac:dyDescent="0.25">
      <c r="A2860" s="3">
        <v>2855</v>
      </c>
      <c r="B2860" s="3" t="str">
        <f>"00668080"</f>
        <v>00668080</v>
      </c>
    </row>
    <row r="2861" spans="1:2" x14ac:dyDescent="0.25">
      <c r="A2861" s="3">
        <v>2856</v>
      </c>
      <c r="B2861" s="3" t="str">
        <f>"00668137"</f>
        <v>00668137</v>
      </c>
    </row>
    <row r="2862" spans="1:2" x14ac:dyDescent="0.25">
      <c r="A2862" s="3">
        <v>2857</v>
      </c>
      <c r="B2862" s="3" t="str">
        <f>"00668153"</f>
        <v>00668153</v>
      </c>
    </row>
    <row r="2863" spans="1:2" x14ac:dyDescent="0.25">
      <c r="A2863" s="3">
        <v>2858</v>
      </c>
      <c r="B2863" s="3" t="str">
        <f>"00668174"</f>
        <v>00668174</v>
      </c>
    </row>
    <row r="2864" spans="1:2" x14ac:dyDescent="0.25">
      <c r="A2864" s="3">
        <v>2859</v>
      </c>
      <c r="B2864" s="3" t="str">
        <f>"00668189"</f>
        <v>00668189</v>
      </c>
    </row>
    <row r="2865" spans="1:2" x14ac:dyDescent="0.25">
      <c r="A2865" s="3">
        <v>2860</v>
      </c>
      <c r="B2865" s="3" t="str">
        <f>"00668192"</f>
        <v>00668192</v>
      </c>
    </row>
    <row r="2866" spans="1:2" x14ac:dyDescent="0.25">
      <c r="A2866" s="3">
        <v>2861</v>
      </c>
      <c r="B2866" s="3" t="str">
        <f>"00668261"</f>
        <v>00668261</v>
      </c>
    </row>
    <row r="2867" spans="1:2" x14ac:dyDescent="0.25">
      <c r="A2867" s="3">
        <v>2862</v>
      </c>
      <c r="B2867" s="3" t="str">
        <f>"00668265"</f>
        <v>00668265</v>
      </c>
    </row>
    <row r="2868" spans="1:2" x14ac:dyDescent="0.25">
      <c r="A2868" s="3">
        <v>2863</v>
      </c>
      <c r="B2868" s="3" t="str">
        <f>"00668284"</f>
        <v>00668284</v>
      </c>
    </row>
    <row r="2869" spans="1:2" x14ac:dyDescent="0.25">
      <c r="A2869" s="3">
        <v>2864</v>
      </c>
      <c r="B2869" s="3" t="str">
        <f>"00668290"</f>
        <v>00668290</v>
      </c>
    </row>
    <row r="2870" spans="1:2" x14ac:dyDescent="0.25">
      <c r="A2870" s="3">
        <v>2865</v>
      </c>
      <c r="B2870" s="3" t="str">
        <f>"00668293"</f>
        <v>00668293</v>
      </c>
    </row>
    <row r="2871" spans="1:2" x14ac:dyDescent="0.25">
      <c r="A2871" s="3">
        <v>2866</v>
      </c>
      <c r="B2871" s="3" t="str">
        <f>"00668311"</f>
        <v>00668311</v>
      </c>
    </row>
    <row r="2872" spans="1:2" x14ac:dyDescent="0.25">
      <c r="A2872" s="3">
        <v>2867</v>
      </c>
      <c r="B2872" s="3" t="str">
        <f>"00668324"</f>
        <v>00668324</v>
      </c>
    </row>
    <row r="2873" spans="1:2" x14ac:dyDescent="0.25">
      <c r="A2873" s="3">
        <v>2868</v>
      </c>
      <c r="B2873" s="3" t="str">
        <f>"00668345"</f>
        <v>00668345</v>
      </c>
    </row>
    <row r="2874" spans="1:2" x14ac:dyDescent="0.25">
      <c r="A2874" s="3">
        <v>2869</v>
      </c>
      <c r="B2874" s="3" t="str">
        <f>"00668387"</f>
        <v>00668387</v>
      </c>
    </row>
    <row r="2875" spans="1:2" x14ac:dyDescent="0.25">
      <c r="A2875" s="3">
        <v>2870</v>
      </c>
      <c r="B2875" s="3" t="str">
        <f>"00668413"</f>
        <v>00668413</v>
      </c>
    </row>
    <row r="2876" spans="1:2" x14ac:dyDescent="0.25">
      <c r="A2876" s="3">
        <v>2871</v>
      </c>
      <c r="B2876" s="3" t="str">
        <f>"00668424"</f>
        <v>00668424</v>
      </c>
    </row>
    <row r="2877" spans="1:2" x14ac:dyDescent="0.25">
      <c r="A2877" s="3">
        <v>2872</v>
      </c>
      <c r="B2877" s="3" t="str">
        <f>"00668467"</f>
        <v>00668467</v>
      </c>
    </row>
    <row r="2878" spans="1:2" x14ac:dyDescent="0.25">
      <c r="A2878" s="3">
        <v>2873</v>
      </c>
      <c r="B2878" s="3" t="str">
        <f>"00668503"</f>
        <v>00668503</v>
      </c>
    </row>
    <row r="2879" spans="1:2" x14ac:dyDescent="0.25">
      <c r="A2879" s="3">
        <v>2874</v>
      </c>
      <c r="B2879" s="3" t="str">
        <f>"00668520"</f>
        <v>00668520</v>
      </c>
    </row>
    <row r="2880" spans="1:2" x14ac:dyDescent="0.25">
      <c r="A2880" s="3">
        <v>2875</v>
      </c>
      <c r="B2880" s="3" t="str">
        <f>"00668533"</f>
        <v>00668533</v>
      </c>
    </row>
    <row r="2881" spans="1:2" x14ac:dyDescent="0.25">
      <c r="A2881" s="3">
        <v>2876</v>
      </c>
      <c r="B2881" s="3" t="str">
        <f>"00668543"</f>
        <v>00668543</v>
      </c>
    </row>
    <row r="2882" spans="1:2" x14ac:dyDescent="0.25">
      <c r="A2882" s="3">
        <v>2877</v>
      </c>
      <c r="B2882" s="3" t="str">
        <f>"00668560"</f>
        <v>00668560</v>
      </c>
    </row>
    <row r="2883" spans="1:2" x14ac:dyDescent="0.25">
      <c r="A2883" s="3">
        <v>2878</v>
      </c>
      <c r="B2883" s="3" t="str">
        <f>"00668561"</f>
        <v>00668561</v>
      </c>
    </row>
    <row r="2884" spans="1:2" x14ac:dyDescent="0.25">
      <c r="A2884" s="3">
        <v>2879</v>
      </c>
      <c r="B2884" s="3" t="str">
        <f>"00668568"</f>
        <v>00668568</v>
      </c>
    </row>
    <row r="2885" spans="1:2" x14ac:dyDescent="0.25">
      <c r="A2885" s="3">
        <v>2880</v>
      </c>
      <c r="B2885" s="3" t="str">
        <f>"00668657"</f>
        <v>00668657</v>
      </c>
    </row>
    <row r="2886" spans="1:2" x14ac:dyDescent="0.25">
      <c r="A2886" s="3">
        <v>2881</v>
      </c>
      <c r="B2886" s="3" t="str">
        <f>"00668702"</f>
        <v>00668702</v>
      </c>
    </row>
    <row r="2887" spans="1:2" x14ac:dyDescent="0.25">
      <c r="A2887" s="3">
        <v>2882</v>
      </c>
      <c r="B2887" s="3" t="str">
        <f>"00668812"</f>
        <v>00668812</v>
      </c>
    </row>
    <row r="2888" spans="1:2" x14ac:dyDescent="0.25">
      <c r="A2888" s="3">
        <v>2883</v>
      </c>
      <c r="B2888" s="3" t="str">
        <f>"00668816"</f>
        <v>00668816</v>
      </c>
    </row>
    <row r="2889" spans="1:2" x14ac:dyDescent="0.25">
      <c r="A2889" s="3">
        <v>2884</v>
      </c>
      <c r="B2889" s="3" t="str">
        <f>"00668860"</f>
        <v>00668860</v>
      </c>
    </row>
    <row r="2890" spans="1:2" x14ac:dyDescent="0.25">
      <c r="A2890" s="3">
        <v>2885</v>
      </c>
      <c r="B2890" s="3" t="str">
        <f>"00668916"</f>
        <v>00668916</v>
      </c>
    </row>
    <row r="2891" spans="1:2" x14ac:dyDescent="0.25">
      <c r="A2891" s="3">
        <v>2886</v>
      </c>
      <c r="B2891" s="3" t="str">
        <f>"00668934"</f>
        <v>00668934</v>
      </c>
    </row>
    <row r="2892" spans="1:2" x14ac:dyDescent="0.25">
      <c r="A2892" s="3">
        <v>2887</v>
      </c>
      <c r="B2892" s="3" t="str">
        <f>"00668946"</f>
        <v>00668946</v>
      </c>
    </row>
    <row r="2893" spans="1:2" x14ac:dyDescent="0.25">
      <c r="A2893" s="3">
        <v>2888</v>
      </c>
      <c r="B2893" s="3" t="str">
        <f>"00668948"</f>
        <v>00668948</v>
      </c>
    </row>
    <row r="2894" spans="1:2" x14ac:dyDescent="0.25">
      <c r="A2894" s="3">
        <v>2889</v>
      </c>
      <c r="B2894" s="3" t="str">
        <f>"00668977"</f>
        <v>00668977</v>
      </c>
    </row>
    <row r="2895" spans="1:2" x14ac:dyDescent="0.25">
      <c r="A2895" s="3">
        <v>2890</v>
      </c>
      <c r="B2895" s="3" t="str">
        <f>"00668984"</f>
        <v>00668984</v>
      </c>
    </row>
    <row r="2896" spans="1:2" x14ac:dyDescent="0.25">
      <c r="A2896" s="3">
        <v>2891</v>
      </c>
      <c r="B2896" s="3" t="str">
        <f>"00669012"</f>
        <v>00669012</v>
      </c>
    </row>
    <row r="2897" spans="1:2" x14ac:dyDescent="0.25">
      <c r="A2897" s="3">
        <v>2892</v>
      </c>
      <c r="B2897" s="3" t="str">
        <f>"00669013"</f>
        <v>00669013</v>
      </c>
    </row>
    <row r="2898" spans="1:2" x14ac:dyDescent="0.25">
      <c r="A2898" s="3">
        <v>2893</v>
      </c>
      <c r="B2898" s="3" t="str">
        <f>"00669027"</f>
        <v>00669027</v>
      </c>
    </row>
    <row r="2899" spans="1:2" x14ac:dyDescent="0.25">
      <c r="A2899" s="3">
        <v>2894</v>
      </c>
      <c r="B2899" s="3" t="str">
        <f>"00669034"</f>
        <v>00669034</v>
      </c>
    </row>
    <row r="2900" spans="1:2" x14ac:dyDescent="0.25">
      <c r="A2900" s="3">
        <v>2895</v>
      </c>
      <c r="B2900" s="3" t="str">
        <f>"00669064"</f>
        <v>00669064</v>
      </c>
    </row>
    <row r="2901" spans="1:2" x14ac:dyDescent="0.25">
      <c r="A2901" s="3">
        <v>2896</v>
      </c>
      <c r="B2901" s="3" t="str">
        <f>"00669133"</f>
        <v>00669133</v>
      </c>
    </row>
    <row r="2902" spans="1:2" x14ac:dyDescent="0.25">
      <c r="A2902" s="3">
        <v>2897</v>
      </c>
      <c r="B2902" s="3" t="str">
        <f>"00669171"</f>
        <v>00669171</v>
      </c>
    </row>
    <row r="2903" spans="1:2" x14ac:dyDescent="0.25">
      <c r="A2903" s="3">
        <v>2898</v>
      </c>
      <c r="B2903" s="3" t="str">
        <f>"00669184"</f>
        <v>00669184</v>
      </c>
    </row>
    <row r="2904" spans="1:2" x14ac:dyDescent="0.25">
      <c r="A2904" s="3">
        <v>2899</v>
      </c>
      <c r="B2904" s="3" t="str">
        <f>"00669203"</f>
        <v>00669203</v>
      </c>
    </row>
    <row r="2905" spans="1:2" x14ac:dyDescent="0.25">
      <c r="A2905" s="3">
        <v>2900</v>
      </c>
      <c r="B2905" s="3" t="str">
        <f>"00669250"</f>
        <v>00669250</v>
      </c>
    </row>
    <row r="2906" spans="1:2" x14ac:dyDescent="0.25">
      <c r="A2906" s="3">
        <v>2901</v>
      </c>
      <c r="B2906" s="3" t="str">
        <f>"00669294"</f>
        <v>00669294</v>
      </c>
    </row>
    <row r="2907" spans="1:2" x14ac:dyDescent="0.25">
      <c r="A2907" s="3">
        <v>2902</v>
      </c>
      <c r="B2907" s="3" t="str">
        <f>"00669296"</f>
        <v>00669296</v>
      </c>
    </row>
    <row r="2908" spans="1:2" x14ac:dyDescent="0.25">
      <c r="A2908" s="3">
        <v>2903</v>
      </c>
      <c r="B2908" s="3" t="str">
        <f>"00669446"</f>
        <v>00669446</v>
      </c>
    </row>
    <row r="2909" spans="1:2" x14ac:dyDescent="0.25">
      <c r="A2909" s="3">
        <v>2904</v>
      </c>
      <c r="B2909" s="3" t="str">
        <f>"00669458"</f>
        <v>00669458</v>
      </c>
    </row>
    <row r="2910" spans="1:2" x14ac:dyDescent="0.25">
      <c r="A2910" s="3">
        <v>2905</v>
      </c>
      <c r="B2910" s="3" t="str">
        <f>"00669462"</f>
        <v>00669462</v>
      </c>
    </row>
    <row r="2911" spans="1:2" x14ac:dyDescent="0.25">
      <c r="A2911" s="3">
        <v>2906</v>
      </c>
      <c r="B2911" s="3" t="str">
        <f>"00669506"</f>
        <v>00669506</v>
      </c>
    </row>
    <row r="2912" spans="1:2" x14ac:dyDescent="0.25">
      <c r="A2912" s="3">
        <v>2907</v>
      </c>
      <c r="B2912" s="3" t="str">
        <f>"00669565"</f>
        <v>00669565</v>
      </c>
    </row>
    <row r="2913" spans="1:2" x14ac:dyDescent="0.25">
      <c r="A2913" s="3">
        <v>2908</v>
      </c>
      <c r="B2913" s="3" t="str">
        <f>"00669613"</f>
        <v>00669613</v>
      </c>
    </row>
    <row r="2914" spans="1:2" x14ac:dyDescent="0.25">
      <c r="A2914" s="3">
        <v>2909</v>
      </c>
      <c r="B2914" s="3" t="str">
        <f>"00669709"</f>
        <v>00669709</v>
      </c>
    </row>
    <row r="2915" spans="1:2" x14ac:dyDescent="0.25">
      <c r="A2915" s="3">
        <v>2910</v>
      </c>
      <c r="B2915" s="3" t="str">
        <f>"00669720"</f>
        <v>00669720</v>
      </c>
    </row>
    <row r="2916" spans="1:2" x14ac:dyDescent="0.25">
      <c r="A2916" s="3">
        <v>2911</v>
      </c>
      <c r="B2916" s="3" t="str">
        <f>"00669735"</f>
        <v>00669735</v>
      </c>
    </row>
    <row r="2917" spans="1:2" x14ac:dyDescent="0.25">
      <c r="A2917" s="3">
        <v>2912</v>
      </c>
      <c r="B2917" s="3" t="str">
        <f>"00669741"</f>
        <v>00669741</v>
      </c>
    </row>
    <row r="2918" spans="1:2" x14ac:dyDescent="0.25">
      <c r="A2918" s="3">
        <v>2913</v>
      </c>
      <c r="B2918" s="3" t="str">
        <f>"00669771"</f>
        <v>00669771</v>
      </c>
    </row>
    <row r="2919" spans="1:2" x14ac:dyDescent="0.25">
      <c r="A2919" s="3">
        <v>2914</v>
      </c>
      <c r="B2919" s="3" t="str">
        <f>"00669786"</f>
        <v>00669786</v>
      </c>
    </row>
    <row r="2920" spans="1:2" x14ac:dyDescent="0.25">
      <c r="A2920" s="3">
        <v>2915</v>
      </c>
      <c r="B2920" s="3" t="str">
        <f>"00669881"</f>
        <v>00669881</v>
      </c>
    </row>
    <row r="2921" spans="1:2" x14ac:dyDescent="0.25">
      <c r="A2921" s="3">
        <v>2916</v>
      </c>
      <c r="B2921" s="3" t="str">
        <f>"00669893"</f>
        <v>00669893</v>
      </c>
    </row>
    <row r="2922" spans="1:2" x14ac:dyDescent="0.25">
      <c r="A2922" s="3">
        <v>2917</v>
      </c>
      <c r="B2922" s="3" t="str">
        <f>"00669896"</f>
        <v>00669896</v>
      </c>
    </row>
    <row r="2923" spans="1:2" x14ac:dyDescent="0.25">
      <c r="A2923" s="3">
        <v>2918</v>
      </c>
      <c r="B2923" s="3" t="str">
        <f>"00669911"</f>
        <v>00669911</v>
      </c>
    </row>
    <row r="2924" spans="1:2" x14ac:dyDescent="0.25">
      <c r="A2924" s="3">
        <v>2919</v>
      </c>
      <c r="B2924" s="3" t="str">
        <f>"00669924"</f>
        <v>00669924</v>
      </c>
    </row>
    <row r="2925" spans="1:2" x14ac:dyDescent="0.25">
      <c r="A2925" s="3">
        <v>2920</v>
      </c>
      <c r="B2925" s="3" t="str">
        <f>"00669936"</f>
        <v>00669936</v>
      </c>
    </row>
    <row r="2926" spans="1:2" x14ac:dyDescent="0.25">
      <c r="A2926" s="3">
        <v>2921</v>
      </c>
      <c r="B2926" s="3" t="str">
        <f>"00669953"</f>
        <v>00669953</v>
      </c>
    </row>
    <row r="2927" spans="1:2" x14ac:dyDescent="0.25">
      <c r="A2927" s="3">
        <v>2922</v>
      </c>
      <c r="B2927" s="3" t="str">
        <f>"00669965"</f>
        <v>00669965</v>
      </c>
    </row>
    <row r="2928" spans="1:2" x14ac:dyDescent="0.25">
      <c r="A2928" s="3">
        <v>2923</v>
      </c>
      <c r="B2928" s="3" t="str">
        <f>"00670020"</f>
        <v>00670020</v>
      </c>
    </row>
    <row r="2929" spans="1:2" x14ac:dyDescent="0.25">
      <c r="A2929" s="3">
        <v>2924</v>
      </c>
      <c r="B2929" s="3" t="str">
        <f>"00670050"</f>
        <v>00670050</v>
      </c>
    </row>
    <row r="2930" spans="1:2" x14ac:dyDescent="0.25">
      <c r="A2930" s="3">
        <v>2925</v>
      </c>
      <c r="B2930" s="3" t="str">
        <f>"00670058"</f>
        <v>00670058</v>
      </c>
    </row>
    <row r="2931" spans="1:2" x14ac:dyDescent="0.25">
      <c r="A2931" s="3">
        <v>2926</v>
      </c>
      <c r="B2931" s="3" t="str">
        <f>"00670138"</f>
        <v>00670138</v>
      </c>
    </row>
    <row r="2932" spans="1:2" x14ac:dyDescent="0.25">
      <c r="A2932" s="3">
        <v>2927</v>
      </c>
      <c r="B2932" s="3" t="str">
        <f>"00670143"</f>
        <v>00670143</v>
      </c>
    </row>
    <row r="2933" spans="1:2" x14ac:dyDescent="0.25">
      <c r="A2933" s="3">
        <v>2928</v>
      </c>
      <c r="B2933" s="3" t="str">
        <f>"00670178"</f>
        <v>00670178</v>
      </c>
    </row>
    <row r="2934" spans="1:2" x14ac:dyDescent="0.25">
      <c r="A2934" s="3">
        <v>2929</v>
      </c>
      <c r="B2934" s="3" t="str">
        <f>"00670247"</f>
        <v>00670247</v>
      </c>
    </row>
    <row r="2935" spans="1:2" x14ac:dyDescent="0.25">
      <c r="A2935" s="3">
        <v>2930</v>
      </c>
      <c r="B2935" s="3" t="str">
        <f>"00670279"</f>
        <v>00670279</v>
      </c>
    </row>
    <row r="2936" spans="1:2" x14ac:dyDescent="0.25">
      <c r="A2936" s="3">
        <v>2931</v>
      </c>
      <c r="B2936" s="3" t="str">
        <f>"00670280"</f>
        <v>00670280</v>
      </c>
    </row>
    <row r="2937" spans="1:2" x14ac:dyDescent="0.25">
      <c r="A2937" s="3">
        <v>2932</v>
      </c>
      <c r="B2937" s="3" t="str">
        <f>"00670281"</f>
        <v>00670281</v>
      </c>
    </row>
    <row r="2938" spans="1:2" x14ac:dyDescent="0.25">
      <c r="A2938" s="3">
        <v>2933</v>
      </c>
      <c r="B2938" s="3" t="str">
        <f>"00670300"</f>
        <v>00670300</v>
      </c>
    </row>
    <row r="2939" spans="1:2" x14ac:dyDescent="0.25">
      <c r="A2939" s="3">
        <v>2934</v>
      </c>
      <c r="B2939" s="3" t="str">
        <f>"00670344"</f>
        <v>00670344</v>
      </c>
    </row>
    <row r="2940" spans="1:2" x14ac:dyDescent="0.25">
      <c r="A2940" s="3">
        <v>2935</v>
      </c>
      <c r="B2940" s="3" t="str">
        <f>"00670445"</f>
        <v>00670445</v>
      </c>
    </row>
    <row r="2941" spans="1:2" x14ac:dyDescent="0.25">
      <c r="A2941" s="3">
        <v>2936</v>
      </c>
      <c r="B2941" s="3" t="str">
        <f>"00670502"</f>
        <v>00670502</v>
      </c>
    </row>
    <row r="2942" spans="1:2" x14ac:dyDescent="0.25">
      <c r="A2942" s="3">
        <v>2937</v>
      </c>
      <c r="B2942" s="3" t="str">
        <f>"00670508"</f>
        <v>00670508</v>
      </c>
    </row>
    <row r="2943" spans="1:2" x14ac:dyDescent="0.25">
      <c r="A2943" s="3">
        <v>2938</v>
      </c>
      <c r="B2943" s="3" t="str">
        <f>"00670530"</f>
        <v>00670530</v>
      </c>
    </row>
    <row r="2944" spans="1:2" x14ac:dyDescent="0.25">
      <c r="A2944" s="3">
        <v>2939</v>
      </c>
      <c r="B2944" s="3" t="str">
        <f>"00670612"</f>
        <v>00670612</v>
      </c>
    </row>
    <row r="2945" spans="1:2" x14ac:dyDescent="0.25">
      <c r="A2945" s="3">
        <v>2940</v>
      </c>
      <c r="B2945" s="3" t="str">
        <f>"00670654"</f>
        <v>00670654</v>
      </c>
    </row>
    <row r="2946" spans="1:2" x14ac:dyDescent="0.25">
      <c r="A2946" s="3">
        <v>2941</v>
      </c>
      <c r="B2946" s="3" t="str">
        <f>"00670722"</f>
        <v>00670722</v>
      </c>
    </row>
    <row r="2947" spans="1:2" x14ac:dyDescent="0.25">
      <c r="A2947" s="3">
        <v>2942</v>
      </c>
      <c r="B2947" s="3" t="str">
        <f>"00670745"</f>
        <v>00670745</v>
      </c>
    </row>
    <row r="2948" spans="1:2" x14ac:dyDescent="0.25">
      <c r="A2948" s="3">
        <v>2943</v>
      </c>
      <c r="B2948" s="3" t="str">
        <f>"00670821"</f>
        <v>00670821</v>
      </c>
    </row>
    <row r="2949" spans="1:2" x14ac:dyDescent="0.25">
      <c r="A2949" s="3">
        <v>2944</v>
      </c>
      <c r="B2949" s="3" t="str">
        <f>"00670832"</f>
        <v>00670832</v>
      </c>
    </row>
    <row r="2950" spans="1:2" x14ac:dyDescent="0.25">
      <c r="A2950" s="3">
        <v>2945</v>
      </c>
      <c r="B2950" s="3" t="str">
        <f>"00670837"</f>
        <v>00670837</v>
      </c>
    </row>
    <row r="2951" spans="1:2" x14ac:dyDescent="0.25">
      <c r="A2951" s="3">
        <v>2946</v>
      </c>
      <c r="B2951" s="3" t="str">
        <f>"00670850"</f>
        <v>00670850</v>
      </c>
    </row>
    <row r="2952" spans="1:2" x14ac:dyDescent="0.25">
      <c r="A2952" s="3">
        <v>2947</v>
      </c>
      <c r="B2952" s="3" t="str">
        <f>"00670865"</f>
        <v>00670865</v>
      </c>
    </row>
    <row r="2953" spans="1:2" x14ac:dyDescent="0.25">
      <c r="A2953" s="3">
        <v>2948</v>
      </c>
      <c r="B2953" s="3" t="str">
        <f>"00670869"</f>
        <v>00670869</v>
      </c>
    </row>
    <row r="2954" spans="1:2" x14ac:dyDescent="0.25">
      <c r="A2954" s="3">
        <v>2949</v>
      </c>
      <c r="B2954" s="3" t="str">
        <f>"00670900"</f>
        <v>00670900</v>
      </c>
    </row>
    <row r="2955" spans="1:2" x14ac:dyDescent="0.25">
      <c r="A2955" s="3">
        <v>2950</v>
      </c>
      <c r="B2955" s="3" t="str">
        <f>"00670901"</f>
        <v>00670901</v>
      </c>
    </row>
    <row r="2956" spans="1:2" x14ac:dyDescent="0.25">
      <c r="A2956" s="3">
        <v>2951</v>
      </c>
      <c r="B2956" s="3" t="str">
        <f>"00670944"</f>
        <v>00670944</v>
      </c>
    </row>
    <row r="2957" spans="1:2" x14ac:dyDescent="0.25">
      <c r="A2957" s="3">
        <v>2952</v>
      </c>
      <c r="B2957" s="3" t="str">
        <f>"00670950"</f>
        <v>00670950</v>
      </c>
    </row>
    <row r="2958" spans="1:2" x14ac:dyDescent="0.25">
      <c r="A2958" s="3">
        <v>2953</v>
      </c>
      <c r="B2958" s="3" t="str">
        <f>"00670960"</f>
        <v>00670960</v>
      </c>
    </row>
    <row r="2959" spans="1:2" x14ac:dyDescent="0.25">
      <c r="A2959" s="3">
        <v>2954</v>
      </c>
      <c r="B2959" s="3" t="str">
        <f>"00671009"</f>
        <v>00671009</v>
      </c>
    </row>
    <row r="2960" spans="1:2" x14ac:dyDescent="0.25">
      <c r="A2960" s="3">
        <v>2955</v>
      </c>
      <c r="B2960" s="3" t="str">
        <f>"00671031"</f>
        <v>00671031</v>
      </c>
    </row>
    <row r="2961" spans="1:2" x14ac:dyDescent="0.25">
      <c r="A2961" s="3">
        <v>2956</v>
      </c>
      <c r="B2961" s="3" t="str">
        <f>"00671035"</f>
        <v>00671035</v>
      </c>
    </row>
    <row r="2962" spans="1:2" x14ac:dyDescent="0.25">
      <c r="A2962" s="3">
        <v>2957</v>
      </c>
      <c r="B2962" s="3" t="str">
        <f>"00671079"</f>
        <v>00671079</v>
      </c>
    </row>
    <row r="2963" spans="1:2" x14ac:dyDescent="0.25">
      <c r="A2963" s="3">
        <v>2958</v>
      </c>
      <c r="B2963" s="3" t="str">
        <f>"00671108"</f>
        <v>00671108</v>
      </c>
    </row>
    <row r="2964" spans="1:2" x14ac:dyDescent="0.25">
      <c r="A2964" s="3">
        <v>2959</v>
      </c>
      <c r="B2964" s="3" t="str">
        <f>"00671146"</f>
        <v>00671146</v>
      </c>
    </row>
    <row r="2965" spans="1:2" x14ac:dyDescent="0.25">
      <c r="A2965" s="3">
        <v>2960</v>
      </c>
      <c r="B2965" s="3" t="str">
        <f>"00671149"</f>
        <v>00671149</v>
      </c>
    </row>
    <row r="2966" spans="1:2" x14ac:dyDescent="0.25">
      <c r="A2966" s="3">
        <v>2961</v>
      </c>
      <c r="B2966" s="3" t="str">
        <f>"00671160"</f>
        <v>00671160</v>
      </c>
    </row>
    <row r="2967" spans="1:2" x14ac:dyDescent="0.25">
      <c r="A2967" s="3">
        <v>2962</v>
      </c>
      <c r="B2967" s="3" t="str">
        <f>"00671183"</f>
        <v>00671183</v>
      </c>
    </row>
    <row r="2968" spans="1:2" x14ac:dyDescent="0.25">
      <c r="A2968" s="3">
        <v>2963</v>
      </c>
      <c r="B2968" s="3" t="str">
        <f>"00671187"</f>
        <v>00671187</v>
      </c>
    </row>
    <row r="2969" spans="1:2" x14ac:dyDescent="0.25">
      <c r="A2969" s="3">
        <v>2964</v>
      </c>
      <c r="B2969" s="3" t="str">
        <f>"00671190"</f>
        <v>00671190</v>
      </c>
    </row>
    <row r="2970" spans="1:2" x14ac:dyDescent="0.25">
      <c r="A2970" s="3">
        <v>2965</v>
      </c>
      <c r="B2970" s="3" t="str">
        <f>"00671202"</f>
        <v>00671202</v>
      </c>
    </row>
    <row r="2971" spans="1:2" x14ac:dyDescent="0.25">
      <c r="A2971" s="3">
        <v>2966</v>
      </c>
      <c r="B2971" s="3" t="str">
        <f>"00671232"</f>
        <v>00671232</v>
      </c>
    </row>
    <row r="2972" spans="1:2" x14ac:dyDescent="0.25">
      <c r="A2972" s="3">
        <v>2967</v>
      </c>
      <c r="B2972" s="3" t="str">
        <f>"00671263"</f>
        <v>00671263</v>
      </c>
    </row>
    <row r="2973" spans="1:2" x14ac:dyDescent="0.25">
      <c r="A2973" s="3">
        <v>2968</v>
      </c>
      <c r="B2973" s="3" t="str">
        <f>"00671287"</f>
        <v>00671287</v>
      </c>
    </row>
    <row r="2974" spans="1:2" x14ac:dyDescent="0.25">
      <c r="A2974" s="3">
        <v>2969</v>
      </c>
      <c r="B2974" s="3" t="str">
        <f>"00671292"</f>
        <v>00671292</v>
      </c>
    </row>
    <row r="2975" spans="1:2" x14ac:dyDescent="0.25">
      <c r="A2975" s="3">
        <v>2970</v>
      </c>
      <c r="B2975" s="3" t="str">
        <f>"00671296"</f>
        <v>00671296</v>
      </c>
    </row>
    <row r="2976" spans="1:2" x14ac:dyDescent="0.25">
      <c r="A2976" s="3">
        <v>2971</v>
      </c>
      <c r="B2976" s="3" t="str">
        <f>"00671362"</f>
        <v>00671362</v>
      </c>
    </row>
    <row r="2977" spans="1:2" x14ac:dyDescent="0.25">
      <c r="A2977" s="3">
        <v>2972</v>
      </c>
      <c r="B2977" s="3" t="str">
        <f>"00671485"</f>
        <v>00671485</v>
      </c>
    </row>
    <row r="2978" spans="1:2" x14ac:dyDescent="0.25">
      <c r="A2978" s="3">
        <v>2973</v>
      </c>
      <c r="B2978" s="3" t="str">
        <f>"00671492"</f>
        <v>00671492</v>
      </c>
    </row>
    <row r="2979" spans="1:2" x14ac:dyDescent="0.25">
      <c r="A2979" s="3">
        <v>2974</v>
      </c>
      <c r="B2979" s="3" t="str">
        <f>"00671537"</f>
        <v>00671537</v>
      </c>
    </row>
    <row r="2980" spans="1:2" x14ac:dyDescent="0.25">
      <c r="A2980" s="3">
        <v>2975</v>
      </c>
      <c r="B2980" s="3" t="str">
        <f>"00671574"</f>
        <v>00671574</v>
      </c>
    </row>
    <row r="2981" spans="1:2" x14ac:dyDescent="0.25">
      <c r="A2981" s="3">
        <v>2976</v>
      </c>
      <c r="B2981" s="3" t="str">
        <f>"00671579"</f>
        <v>00671579</v>
      </c>
    </row>
    <row r="2982" spans="1:2" x14ac:dyDescent="0.25">
      <c r="A2982" s="3">
        <v>2977</v>
      </c>
      <c r="B2982" s="3" t="str">
        <f>"00671585"</f>
        <v>00671585</v>
      </c>
    </row>
    <row r="2983" spans="1:2" x14ac:dyDescent="0.25">
      <c r="A2983" s="3">
        <v>2978</v>
      </c>
      <c r="B2983" s="3" t="str">
        <f>"00671616"</f>
        <v>00671616</v>
      </c>
    </row>
    <row r="2984" spans="1:2" x14ac:dyDescent="0.25">
      <c r="A2984" s="3">
        <v>2979</v>
      </c>
      <c r="B2984" s="3" t="str">
        <f>"00671637"</f>
        <v>00671637</v>
      </c>
    </row>
    <row r="2985" spans="1:2" x14ac:dyDescent="0.25">
      <c r="A2985" s="3">
        <v>2980</v>
      </c>
      <c r="B2985" s="3" t="str">
        <f>"00671694"</f>
        <v>00671694</v>
      </c>
    </row>
    <row r="2986" spans="1:2" x14ac:dyDescent="0.25">
      <c r="A2986" s="3">
        <v>2981</v>
      </c>
      <c r="B2986" s="3" t="str">
        <f>"00671750"</f>
        <v>00671750</v>
      </c>
    </row>
    <row r="2987" spans="1:2" x14ac:dyDescent="0.25">
      <c r="A2987" s="3">
        <v>2982</v>
      </c>
      <c r="B2987" s="3" t="str">
        <f>"00671816"</f>
        <v>00671816</v>
      </c>
    </row>
    <row r="2988" spans="1:2" x14ac:dyDescent="0.25">
      <c r="A2988" s="3">
        <v>2983</v>
      </c>
      <c r="B2988" s="3" t="str">
        <f>"00671842"</f>
        <v>00671842</v>
      </c>
    </row>
    <row r="2989" spans="1:2" x14ac:dyDescent="0.25">
      <c r="A2989" s="3">
        <v>2984</v>
      </c>
      <c r="B2989" s="3" t="str">
        <f>"00671861"</f>
        <v>00671861</v>
      </c>
    </row>
    <row r="2990" spans="1:2" x14ac:dyDescent="0.25">
      <c r="A2990" s="3">
        <v>2985</v>
      </c>
      <c r="B2990" s="3" t="str">
        <f>"00671881"</f>
        <v>00671881</v>
      </c>
    </row>
    <row r="2991" spans="1:2" x14ac:dyDescent="0.25">
      <c r="A2991" s="3">
        <v>2986</v>
      </c>
      <c r="B2991" s="3" t="str">
        <f>"00671910"</f>
        <v>00671910</v>
      </c>
    </row>
    <row r="2992" spans="1:2" x14ac:dyDescent="0.25">
      <c r="A2992" s="3">
        <v>2987</v>
      </c>
      <c r="B2992" s="3" t="str">
        <f>"00671924"</f>
        <v>00671924</v>
      </c>
    </row>
    <row r="2993" spans="1:2" x14ac:dyDescent="0.25">
      <c r="A2993" s="3">
        <v>2988</v>
      </c>
      <c r="B2993" s="3" t="str">
        <f>"00671935"</f>
        <v>00671935</v>
      </c>
    </row>
    <row r="2994" spans="1:2" x14ac:dyDescent="0.25">
      <c r="A2994" s="3">
        <v>2989</v>
      </c>
      <c r="B2994" s="3" t="str">
        <f>"00671980"</f>
        <v>00671980</v>
      </c>
    </row>
    <row r="2995" spans="1:2" x14ac:dyDescent="0.25">
      <c r="A2995" s="3">
        <v>2990</v>
      </c>
      <c r="B2995" s="3" t="str">
        <f>"00672002"</f>
        <v>00672002</v>
      </c>
    </row>
    <row r="2996" spans="1:2" x14ac:dyDescent="0.25">
      <c r="A2996" s="3">
        <v>2991</v>
      </c>
      <c r="B2996" s="3" t="str">
        <f>"00672028"</f>
        <v>00672028</v>
      </c>
    </row>
    <row r="2997" spans="1:2" x14ac:dyDescent="0.25">
      <c r="A2997" s="3">
        <v>2992</v>
      </c>
      <c r="B2997" s="3" t="str">
        <f>"00672029"</f>
        <v>00672029</v>
      </c>
    </row>
    <row r="2998" spans="1:2" x14ac:dyDescent="0.25">
      <c r="A2998" s="3">
        <v>2993</v>
      </c>
      <c r="B2998" s="3" t="str">
        <f>"00672060"</f>
        <v>00672060</v>
      </c>
    </row>
    <row r="2999" spans="1:2" x14ac:dyDescent="0.25">
      <c r="A2999" s="3">
        <v>2994</v>
      </c>
      <c r="B2999" s="3" t="str">
        <f>"00672062"</f>
        <v>00672062</v>
      </c>
    </row>
    <row r="3000" spans="1:2" x14ac:dyDescent="0.25">
      <c r="A3000" s="3">
        <v>2995</v>
      </c>
      <c r="B3000" s="3" t="str">
        <f>"00672065"</f>
        <v>00672065</v>
      </c>
    </row>
    <row r="3001" spans="1:2" x14ac:dyDescent="0.25">
      <c r="A3001" s="3">
        <v>2996</v>
      </c>
      <c r="B3001" s="3" t="str">
        <f>"00672160"</f>
        <v>00672160</v>
      </c>
    </row>
    <row r="3002" spans="1:2" x14ac:dyDescent="0.25">
      <c r="A3002" s="3">
        <v>2997</v>
      </c>
      <c r="B3002" s="3" t="str">
        <f>"00672169"</f>
        <v>00672169</v>
      </c>
    </row>
    <row r="3003" spans="1:2" x14ac:dyDescent="0.25">
      <c r="A3003" s="3">
        <v>2998</v>
      </c>
      <c r="B3003" s="3" t="str">
        <f>"00672213"</f>
        <v>00672213</v>
      </c>
    </row>
    <row r="3004" spans="1:2" x14ac:dyDescent="0.25">
      <c r="A3004" s="3">
        <v>2999</v>
      </c>
      <c r="B3004" s="3" t="str">
        <f>"00672232"</f>
        <v>00672232</v>
      </c>
    </row>
    <row r="3005" spans="1:2" x14ac:dyDescent="0.25">
      <c r="A3005" s="3">
        <v>3000</v>
      </c>
      <c r="B3005" s="3" t="str">
        <f>"00672234"</f>
        <v>00672234</v>
      </c>
    </row>
    <row r="3006" spans="1:2" x14ac:dyDescent="0.25">
      <c r="A3006" s="3">
        <v>3001</v>
      </c>
      <c r="B3006" s="3" t="str">
        <f>"00672243"</f>
        <v>00672243</v>
      </c>
    </row>
    <row r="3007" spans="1:2" x14ac:dyDescent="0.25">
      <c r="A3007" s="3">
        <v>3002</v>
      </c>
      <c r="B3007" s="3" t="str">
        <f>"00672246"</f>
        <v>00672246</v>
      </c>
    </row>
    <row r="3008" spans="1:2" x14ac:dyDescent="0.25">
      <c r="A3008" s="3">
        <v>3003</v>
      </c>
      <c r="B3008" s="3" t="str">
        <f>"00672306"</f>
        <v>00672306</v>
      </c>
    </row>
    <row r="3009" spans="1:2" x14ac:dyDescent="0.25">
      <c r="A3009" s="3">
        <v>3004</v>
      </c>
      <c r="B3009" s="3" t="str">
        <f>"00672392"</f>
        <v>00672392</v>
      </c>
    </row>
    <row r="3010" spans="1:2" x14ac:dyDescent="0.25">
      <c r="A3010" s="3">
        <v>3005</v>
      </c>
      <c r="B3010" s="3" t="str">
        <f>"00672415"</f>
        <v>00672415</v>
      </c>
    </row>
    <row r="3011" spans="1:2" x14ac:dyDescent="0.25">
      <c r="A3011" s="3">
        <v>3006</v>
      </c>
      <c r="B3011" s="3" t="str">
        <f>"00672424"</f>
        <v>00672424</v>
      </c>
    </row>
    <row r="3012" spans="1:2" x14ac:dyDescent="0.25">
      <c r="A3012" s="3">
        <v>3007</v>
      </c>
      <c r="B3012" s="3" t="str">
        <f>"00672462"</f>
        <v>00672462</v>
      </c>
    </row>
    <row r="3013" spans="1:2" x14ac:dyDescent="0.25">
      <c r="A3013" s="3">
        <v>3008</v>
      </c>
      <c r="B3013" s="3" t="str">
        <f>"00672503"</f>
        <v>00672503</v>
      </c>
    </row>
    <row r="3014" spans="1:2" x14ac:dyDescent="0.25">
      <c r="A3014" s="3">
        <v>3009</v>
      </c>
      <c r="B3014" s="3" t="str">
        <f>"00672504"</f>
        <v>00672504</v>
      </c>
    </row>
    <row r="3015" spans="1:2" x14ac:dyDescent="0.25">
      <c r="A3015" s="3">
        <v>3010</v>
      </c>
      <c r="B3015" s="3" t="str">
        <f>"00672510"</f>
        <v>00672510</v>
      </c>
    </row>
    <row r="3016" spans="1:2" x14ac:dyDescent="0.25">
      <c r="A3016" s="3">
        <v>3011</v>
      </c>
      <c r="B3016" s="3" t="str">
        <f>"00672523"</f>
        <v>00672523</v>
      </c>
    </row>
    <row r="3017" spans="1:2" x14ac:dyDescent="0.25">
      <c r="A3017" s="3">
        <v>3012</v>
      </c>
      <c r="B3017" s="3" t="str">
        <f>"00672552"</f>
        <v>00672552</v>
      </c>
    </row>
    <row r="3018" spans="1:2" x14ac:dyDescent="0.25">
      <c r="A3018" s="3">
        <v>3013</v>
      </c>
      <c r="B3018" s="3" t="str">
        <f>"00672554"</f>
        <v>00672554</v>
      </c>
    </row>
    <row r="3019" spans="1:2" x14ac:dyDescent="0.25">
      <c r="A3019" s="3">
        <v>3014</v>
      </c>
      <c r="B3019" s="3" t="str">
        <f>"00672571"</f>
        <v>00672571</v>
      </c>
    </row>
    <row r="3020" spans="1:2" x14ac:dyDescent="0.25">
      <c r="A3020" s="3">
        <v>3015</v>
      </c>
      <c r="B3020" s="3" t="str">
        <f>"00672600"</f>
        <v>00672600</v>
      </c>
    </row>
    <row r="3021" spans="1:2" x14ac:dyDescent="0.25">
      <c r="A3021" s="3">
        <v>3016</v>
      </c>
      <c r="B3021" s="3" t="str">
        <f>"00672636"</f>
        <v>00672636</v>
      </c>
    </row>
    <row r="3022" spans="1:2" x14ac:dyDescent="0.25">
      <c r="A3022" s="3">
        <v>3017</v>
      </c>
      <c r="B3022" s="3" t="str">
        <f>"00672676"</f>
        <v>00672676</v>
      </c>
    </row>
    <row r="3023" spans="1:2" x14ac:dyDescent="0.25">
      <c r="A3023" s="3">
        <v>3018</v>
      </c>
      <c r="B3023" s="3" t="str">
        <f>"00672716"</f>
        <v>00672716</v>
      </c>
    </row>
    <row r="3024" spans="1:2" x14ac:dyDescent="0.25">
      <c r="A3024" s="3">
        <v>3019</v>
      </c>
      <c r="B3024" s="3" t="str">
        <f>"00672736"</f>
        <v>00672736</v>
      </c>
    </row>
    <row r="3025" spans="1:2" x14ac:dyDescent="0.25">
      <c r="A3025" s="3">
        <v>3020</v>
      </c>
      <c r="B3025" s="3" t="str">
        <f>"00672754"</f>
        <v>00672754</v>
      </c>
    </row>
    <row r="3026" spans="1:2" x14ac:dyDescent="0.25">
      <c r="A3026" s="3">
        <v>3021</v>
      </c>
      <c r="B3026" s="3" t="str">
        <f>"00672756"</f>
        <v>00672756</v>
      </c>
    </row>
    <row r="3027" spans="1:2" x14ac:dyDescent="0.25">
      <c r="A3027" s="3">
        <v>3022</v>
      </c>
      <c r="B3027" s="3" t="str">
        <f>"00672808"</f>
        <v>00672808</v>
      </c>
    </row>
    <row r="3028" spans="1:2" x14ac:dyDescent="0.25">
      <c r="A3028" s="3">
        <v>3023</v>
      </c>
      <c r="B3028" s="3" t="str">
        <f>"00672822"</f>
        <v>00672822</v>
      </c>
    </row>
    <row r="3029" spans="1:2" x14ac:dyDescent="0.25">
      <c r="A3029" s="3">
        <v>3024</v>
      </c>
      <c r="B3029" s="3" t="str">
        <f>"00672839"</f>
        <v>00672839</v>
      </c>
    </row>
    <row r="3030" spans="1:2" x14ac:dyDescent="0.25">
      <c r="A3030" s="3">
        <v>3025</v>
      </c>
      <c r="B3030" s="3" t="str">
        <f>"00672857"</f>
        <v>00672857</v>
      </c>
    </row>
    <row r="3031" spans="1:2" x14ac:dyDescent="0.25">
      <c r="A3031" s="3">
        <v>3026</v>
      </c>
      <c r="B3031" s="3" t="str">
        <f>"00672861"</f>
        <v>00672861</v>
      </c>
    </row>
    <row r="3032" spans="1:2" x14ac:dyDescent="0.25">
      <c r="A3032" s="3">
        <v>3027</v>
      </c>
      <c r="B3032" s="3" t="str">
        <f>"00672869"</f>
        <v>00672869</v>
      </c>
    </row>
    <row r="3033" spans="1:2" x14ac:dyDescent="0.25">
      <c r="A3033" s="3">
        <v>3028</v>
      </c>
      <c r="B3033" s="3" t="str">
        <f>"00672881"</f>
        <v>00672881</v>
      </c>
    </row>
    <row r="3034" spans="1:2" x14ac:dyDescent="0.25">
      <c r="A3034" s="3">
        <v>3029</v>
      </c>
      <c r="B3034" s="3" t="str">
        <f>"00672905"</f>
        <v>00672905</v>
      </c>
    </row>
    <row r="3035" spans="1:2" x14ac:dyDescent="0.25">
      <c r="A3035" s="3">
        <v>3030</v>
      </c>
      <c r="B3035" s="3" t="str">
        <f>"00672910"</f>
        <v>00672910</v>
      </c>
    </row>
    <row r="3036" spans="1:2" x14ac:dyDescent="0.25">
      <c r="A3036" s="3">
        <v>3031</v>
      </c>
      <c r="B3036" s="3" t="str">
        <f>"00672925"</f>
        <v>00672925</v>
      </c>
    </row>
    <row r="3037" spans="1:2" x14ac:dyDescent="0.25">
      <c r="A3037" s="3">
        <v>3032</v>
      </c>
      <c r="B3037" s="3" t="str">
        <f>"00672928"</f>
        <v>00672928</v>
      </c>
    </row>
    <row r="3038" spans="1:2" x14ac:dyDescent="0.25">
      <c r="A3038" s="3">
        <v>3033</v>
      </c>
      <c r="B3038" s="3" t="str">
        <f>"00672939"</f>
        <v>00672939</v>
      </c>
    </row>
    <row r="3039" spans="1:2" x14ac:dyDescent="0.25">
      <c r="A3039" s="3">
        <v>3034</v>
      </c>
      <c r="B3039" s="3" t="str">
        <f>"00672942"</f>
        <v>00672942</v>
      </c>
    </row>
    <row r="3040" spans="1:2" x14ac:dyDescent="0.25">
      <c r="A3040" s="3">
        <v>3035</v>
      </c>
      <c r="B3040" s="3" t="str">
        <f>"00672957"</f>
        <v>00672957</v>
      </c>
    </row>
    <row r="3041" spans="1:2" x14ac:dyDescent="0.25">
      <c r="A3041" s="3">
        <v>3036</v>
      </c>
      <c r="B3041" s="3" t="str">
        <f>"00672992"</f>
        <v>00672992</v>
      </c>
    </row>
    <row r="3042" spans="1:2" x14ac:dyDescent="0.25">
      <c r="A3042" s="3">
        <v>3037</v>
      </c>
      <c r="B3042" s="3" t="str">
        <f>"00672999"</f>
        <v>00672999</v>
      </c>
    </row>
    <row r="3043" spans="1:2" x14ac:dyDescent="0.25">
      <c r="A3043" s="3">
        <v>3038</v>
      </c>
      <c r="B3043" s="3" t="str">
        <f>"00673012"</f>
        <v>00673012</v>
      </c>
    </row>
    <row r="3044" spans="1:2" x14ac:dyDescent="0.25">
      <c r="A3044" s="3">
        <v>3039</v>
      </c>
      <c r="B3044" s="3" t="str">
        <f>"00673016"</f>
        <v>00673016</v>
      </c>
    </row>
    <row r="3045" spans="1:2" x14ac:dyDescent="0.25">
      <c r="A3045" s="3">
        <v>3040</v>
      </c>
      <c r="B3045" s="3" t="str">
        <f>"00673022"</f>
        <v>00673022</v>
      </c>
    </row>
    <row r="3046" spans="1:2" x14ac:dyDescent="0.25">
      <c r="A3046" s="3">
        <v>3041</v>
      </c>
      <c r="B3046" s="3" t="str">
        <f>"00673032"</f>
        <v>00673032</v>
      </c>
    </row>
    <row r="3047" spans="1:2" x14ac:dyDescent="0.25">
      <c r="A3047" s="3">
        <v>3042</v>
      </c>
      <c r="B3047" s="3" t="str">
        <f>"00673095"</f>
        <v>00673095</v>
      </c>
    </row>
    <row r="3048" spans="1:2" x14ac:dyDescent="0.25">
      <c r="A3048" s="3">
        <v>3043</v>
      </c>
      <c r="B3048" s="3" t="str">
        <f>"00673139"</f>
        <v>00673139</v>
      </c>
    </row>
    <row r="3049" spans="1:2" x14ac:dyDescent="0.25">
      <c r="A3049" s="3">
        <v>3044</v>
      </c>
      <c r="B3049" s="3" t="str">
        <f>"00673216"</f>
        <v>00673216</v>
      </c>
    </row>
    <row r="3050" spans="1:2" x14ac:dyDescent="0.25">
      <c r="A3050" s="3">
        <v>3045</v>
      </c>
      <c r="B3050" s="3" t="str">
        <f>"00673231"</f>
        <v>00673231</v>
      </c>
    </row>
    <row r="3051" spans="1:2" x14ac:dyDescent="0.25">
      <c r="A3051" s="3">
        <v>3046</v>
      </c>
      <c r="B3051" s="3" t="str">
        <f>"00673235"</f>
        <v>00673235</v>
      </c>
    </row>
    <row r="3052" spans="1:2" x14ac:dyDescent="0.25">
      <c r="A3052" s="3">
        <v>3047</v>
      </c>
      <c r="B3052" s="3" t="str">
        <f>"00673253"</f>
        <v>00673253</v>
      </c>
    </row>
    <row r="3053" spans="1:2" x14ac:dyDescent="0.25">
      <c r="A3053" s="3">
        <v>3048</v>
      </c>
      <c r="B3053" s="3" t="str">
        <f>"00673270"</f>
        <v>00673270</v>
      </c>
    </row>
    <row r="3054" spans="1:2" x14ac:dyDescent="0.25">
      <c r="A3054" s="3">
        <v>3049</v>
      </c>
      <c r="B3054" s="3" t="str">
        <f>"00673275"</f>
        <v>00673275</v>
      </c>
    </row>
    <row r="3055" spans="1:2" x14ac:dyDescent="0.25">
      <c r="A3055" s="3">
        <v>3050</v>
      </c>
      <c r="B3055" s="3" t="str">
        <f>"00673297"</f>
        <v>00673297</v>
      </c>
    </row>
    <row r="3056" spans="1:2" x14ac:dyDescent="0.25">
      <c r="A3056" s="3">
        <v>3051</v>
      </c>
      <c r="B3056" s="3" t="str">
        <f>"00673312"</f>
        <v>00673312</v>
      </c>
    </row>
    <row r="3057" spans="1:2" x14ac:dyDescent="0.25">
      <c r="A3057" s="3">
        <v>3052</v>
      </c>
      <c r="B3057" s="3" t="str">
        <f>"00673472"</f>
        <v>00673472</v>
      </c>
    </row>
    <row r="3058" spans="1:2" x14ac:dyDescent="0.25">
      <c r="A3058" s="3">
        <v>3053</v>
      </c>
      <c r="B3058" s="3" t="str">
        <f>"00673478"</f>
        <v>00673478</v>
      </c>
    </row>
    <row r="3059" spans="1:2" x14ac:dyDescent="0.25">
      <c r="A3059" s="3">
        <v>3054</v>
      </c>
      <c r="B3059" s="3" t="str">
        <f>"00673479"</f>
        <v>00673479</v>
      </c>
    </row>
    <row r="3060" spans="1:2" x14ac:dyDescent="0.25">
      <c r="A3060" s="3">
        <v>3055</v>
      </c>
      <c r="B3060" s="3" t="str">
        <f>"00673566"</f>
        <v>00673566</v>
      </c>
    </row>
    <row r="3061" spans="1:2" x14ac:dyDescent="0.25">
      <c r="A3061" s="3">
        <v>3056</v>
      </c>
      <c r="B3061" s="3" t="str">
        <f>"00673577"</f>
        <v>00673577</v>
      </c>
    </row>
    <row r="3062" spans="1:2" x14ac:dyDescent="0.25">
      <c r="A3062" s="3">
        <v>3057</v>
      </c>
      <c r="B3062" s="3" t="str">
        <f>"00673623"</f>
        <v>00673623</v>
      </c>
    </row>
    <row r="3063" spans="1:2" x14ac:dyDescent="0.25">
      <c r="A3063" s="3">
        <v>3058</v>
      </c>
      <c r="B3063" s="3" t="str">
        <f>"00673652"</f>
        <v>00673652</v>
      </c>
    </row>
    <row r="3064" spans="1:2" x14ac:dyDescent="0.25">
      <c r="A3064" s="3">
        <v>3059</v>
      </c>
      <c r="B3064" s="3" t="str">
        <f>"00673683"</f>
        <v>00673683</v>
      </c>
    </row>
    <row r="3065" spans="1:2" x14ac:dyDescent="0.25">
      <c r="A3065" s="3">
        <v>3060</v>
      </c>
      <c r="B3065" s="3" t="str">
        <f>"00673707"</f>
        <v>00673707</v>
      </c>
    </row>
    <row r="3066" spans="1:2" x14ac:dyDescent="0.25">
      <c r="A3066" s="3">
        <v>3061</v>
      </c>
      <c r="B3066" s="3" t="str">
        <f>"00673715"</f>
        <v>00673715</v>
      </c>
    </row>
    <row r="3067" spans="1:2" x14ac:dyDescent="0.25">
      <c r="A3067" s="3">
        <v>3062</v>
      </c>
      <c r="B3067" s="3" t="str">
        <f>"00673788"</f>
        <v>00673788</v>
      </c>
    </row>
    <row r="3068" spans="1:2" x14ac:dyDescent="0.25">
      <c r="A3068" s="3">
        <v>3063</v>
      </c>
      <c r="B3068" s="3" t="str">
        <f>"00673802"</f>
        <v>00673802</v>
      </c>
    </row>
    <row r="3069" spans="1:2" x14ac:dyDescent="0.25">
      <c r="A3069" s="3">
        <v>3064</v>
      </c>
      <c r="B3069" s="3" t="str">
        <f>"00673804"</f>
        <v>00673804</v>
      </c>
    </row>
    <row r="3070" spans="1:2" x14ac:dyDescent="0.25">
      <c r="A3070" s="3">
        <v>3065</v>
      </c>
      <c r="B3070" s="3" t="str">
        <f>"00673823"</f>
        <v>00673823</v>
      </c>
    </row>
    <row r="3071" spans="1:2" x14ac:dyDescent="0.25">
      <c r="A3071" s="3">
        <v>3066</v>
      </c>
      <c r="B3071" s="3" t="str">
        <f>"00673831"</f>
        <v>00673831</v>
      </c>
    </row>
    <row r="3072" spans="1:2" x14ac:dyDescent="0.25">
      <c r="A3072" s="3">
        <v>3067</v>
      </c>
      <c r="B3072" s="3" t="str">
        <f>"00673843"</f>
        <v>00673843</v>
      </c>
    </row>
    <row r="3073" spans="1:2" x14ac:dyDescent="0.25">
      <c r="A3073" s="3">
        <v>3068</v>
      </c>
      <c r="B3073" s="3" t="str">
        <f>"00673852"</f>
        <v>00673852</v>
      </c>
    </row>
    <row r="3074" spans="1:2" x14ac:dyDescent="0.25">
      <c r="A3074" s="3">
        <v>3069</v>
      </c>
      <c r="B3074" s="3" t="str">
        <f>"00673878"</f>
        <v>00673878</v>
      </c>
    </row>
    <row r="3075" spans="1:2" x14ac:dyDescent="0.25">
      <c r="A3075" s="3">
        <v>3070</v>
      </c>
      <c r="B3075" s="3" t="str">
        <f>"00673931"</f>
        <v>00673931</v>
      </c>
    </row>
    <row r="3076" spans="1:2" x14ac:dyDescent="0.25">
      <c r="A3076" s="3">
        <v>3071</v>
      </c>
      <c r="B3076" s="3" t="str">
        <f>"00673948"</f>
        <v>00673948</v>
      </c>
    </row>
    <row r="3077" spans="1:2" x14ac:dyDescent="0.25">
      <c r="A3077" s="3">
        <v>3072</v>
      </c>
      <c r="B3077" s="3" t="str">
        <f>"00673959"</f>
        <v>00673959</v>
      </c>
    </row>
    <row r="3078" spans="1:2" x14ac:dyDescent="0.25">
      <c r="A3078" s="3">
        <v>3073</v>
      </c>
      <c r="B3078" s="3" t="str">
        <f>"00673964"</f>
        <v>00673964</v>
      </c>
    </row>
    <row r="3079" spans="1:2" x14ac:dyDescent="0.25">
      <c r="A3079" s="3">
        <v>3074</v>
      </c>
      <c r="B3079" s="3" t="str">
        <f>"00674057"</f>
        <v>00674057</v>
      </c>
    </row>
    <row r="3080" spans="1:2" x14ac:dyDescent="0.25">
      <c r="A3080" s="3">
        <v>3075</v>
      </c>
      <c r="B3080" s="3" t="str">
        <f>"00674063"</f>
        <v>00674063</v>
      </c>
    </row>
    <row r="3081" spans="1:2" x14ac:dyDescent="0.25">
      <c r="A3081" s="3">
        <v>3076</v>
      </c>
      <c r="B3081" s="3" t="str">
        <f>"00674102"</f>
        <v>00674102</v>
      </c>
    </row>
    <row r="3082" spans="1:2" x14ac:dyDescent="0.25">
      <c r="A3082" s="3">
        <v>3077</v>
      </c>
      <c r="B3082" s="3" t="str">
        <f>"00674145"</f>
        <v>00674145</v>
      </c>
    </row>
    <row r="3083" spans="1:2" x14ac:dyDescent="0.25">
      <c r="A3083" s="3">
        <v>3078</v>
      </c>
      <c r="B3083" s="3" t="str">
        <f>"00674146"</f>
        <v>00674146</v>
      </c>
    </row>
    <row r="3084" spans="1:2" x14ac:dyDescent="0.25">
      <c r="A3084" s="3">
        <v>3079</v>
      </c>
      <c r="B3084" s="3" t="str">
        <f>"00674199"</f>
        <v>00674199</v>
      </c>
    </row>
    <row r="3085" spans="1:2" x14ac:dyDescent="0.25">
      <c r="A3085" s="3">
        <v>3080</v>
      </c>
      <c r="B3085" s="3" t="str">
        <f>"00674210"</f>
        <v>00674210</v>
      </c>
    </row>
    <row r="3086" spans="1:2" x14ac:dyDescent="0.25">
      <c r="A3086" s="3">
        <v>3081</v>
      </c>
      <c r="B3086" s="3" t="str">
        <f>"00674269"</f>
        <v>00674269</v>
      </c>
    </row>
    <row r="3087" spans="1:2" x14ac:dyDescent="0.25">
      <c r="A3087" s="3">
        <v>3082</v>
      </c>
      <c r="B3087" s="3" t="str">
        <f>"00674273"</f>
        <v>00674273</v>
      </c>
    </row>
    <row r="3088" spans="1:2" x14ac:dyDescent="0.25">
      <c r="A3088" s="3">
        <v>3083</v>
      </c>
      <c r="B3088" s="3" t="str">
        <f>"00674306"</f>
        <v>00674306</v>
      </c>
    </row>
    <row r="3089" spans="1:2" x14ac:dyDescent="0.25">
      <c r="A3089" s="3">
        <v>3084</v>
      </c>
      <c r="B3089" s="3" t="str">
        <f>"00674321"</f>
        <v>00674321</v>
      </c>
    </row>
    <row r="3090" spans="1:2" x14ac:dyDescent="0.25">
      <c r="A3090" s="3">
        <v>3085</v>
      </c>
      <c r="B3090" s="3" t="str">
        <f>"00674336"</f>
        <v>00674336</v>
      </c>
    </row>
    <row r="3091" spans="1:2" x14ac:dyDescent="0.25">
      <c r="A3091" s="3">
        <v>3086</v>
      </c>
      <c r="B3091" s="3" t="str">
        <f>"00674353"</f>
        <v>00674353</v>
      </c>
    </row>
    <row r="3092" spans="1:2" x14ac:dyDescent="0.25">
      <c r="A3092" s="3">
        <v>3087</v>
      </c>
      <c r="B3092" s="3" t="str">
        <f>"00674364"</f>
        <v>00674364</v>
      </c>
    </row>
    <row r="3093" spans="1:2" x14ac:dyDescent="0.25">
      <c r="A3093" s="3">
        <v>3088</v>
      </c>
      <c r="B3093" s="3" t="str">
        <f>"00674367"</f>
        <v>00674367</v>
      </c>
    </row>
    <row r="3094" spans="1:2" x14ac:dyDescent="0.25">
      <c r="A3094" s="3">
        <v>3089</v>
      </c>
      <c r="B3094" s="3" t="str">
        <f>"00674376"</f>
        <v>00674376</v>
      </c>
    </row>
    <row r="3095" spans="1:2" x14ac:dyDescent="0.25">
      <c r="A3095" s="3">
        <v>3090</v>
      </c>
      <c r="B3095" s="3" t="str">
        <f>"00674396"</f>
        <v>00674396</v>
      </c>
    </row>
    <row r="3096" spans="1:2" x14ac:dyDescent="0.25">
      <c r="A3096" s="3">
        <v>3091</v>
      </c>
      <c r="B3096" s="3" t="str">
        <f>"00674415"</f>
        <v>00674415</v>
      </c>
    </row>
    <row r="3097" spans="1:2" x14ac:dyDescent="0.25">
      <c r="A3097" s="3">
        <v>3092</v>
      </c>
      <c r="B3097" s="3" t="str">
        <f>"00674451"</f>
        <v>00674451</v>
      </c>
    </row>
    <row r="3098" spans="1:2" x14ac:dyDescent="0.25">
      <c r="A3098" s="3">
        <v>3093</v>
      </c>
      <c r="B3098" s="3" t="str">
        <f>"00674455"</f>
        <v>00674455</v>
      </c>
    </row>
    <row r="3099" spans="1:2" x14ac:dyDescent="0.25">
      <c r="A3099" s="3">
        <v>3094</v>
      </c>
      <c r="B3099" s="3" t="str">
        <f>"00674460"</f>
        <v>00674460</v>
      </c>
    </row>
    <row r="3100" spans="1:2" x14ac:dyDescent="0.25">
      <c r="A3100" s="3">
        <v>3095</v>
      </c>
      <c r="B3100" s="3" t="str">
        <f>"00674469"</f>
        <v>00674469</v>
      </c>
    </row>
    <row r="3101" spans="1:2" x14ac:dyDescent="0.25">
      <c r="A3101" s="3">
        <v>3096</v>
      </c>
      <c r="B3101" s="3" t="str">
        <f>"00674492"</f>
        <v>00674492</v>
      </c>
    </row>
    <row r="3102" spans="1:2" x14ac:dyDescent="0.25">
      <c r="A3102" s="3">
        <v>3097</v>
      </c>
      <c r="B3102" s="3" t="str">
        <f>"00674498"</f>
        <v>00674498</v>
      </c>
    </row>
    <row r="3103" spans="1:2" x14ac:dyDescent="0.25">
      <c r="A3103" s="3">
        <v>3098</v>
      </c>
      <c r="B3103" s="3" t="str">
        <f>"00674514"</f>
        <v>00674514</v>
      </c>
    </row>
    <row r="3104" spans="1:2" x14ac:dyDescent="0.25">
      <c r="A3104" s="3">
        <v>3099</v>
      </c>
      <c r="B3104" s="3" t="str">
        <f>"00674523"</f>
        <v>00674523</v>
      </c>
    </row>
    <row r="3105" spans="1:2" x14ac:dyDescent="0.25">
      <c r="A3105" s="3">
        <v>3100</v>
      </c>
      <c r="B3105" s="3" t="str">
        <f>"00674588"</f>
        <v>00674588</v>
      </c>
    </row>
    <row r="3106" spans="1:2" x14ac:dyDescent="0.25">
      <c r="A3106" s="3">
        <v>3101</v>
      </c>
      <c r="B3106" s="3" t="str">
        <f>"00674604"</f>
        <v>00674604</v>
      </c>
    </row>
    <row r="3107" spans="1:2" x14ac:dyDescent="0.25">
      <c r="A3107" s="3">
        <v>3102</v>
      </c>
      <c r="B3107" s="3" t="str">
        <f>"00674659"</f>
        <v>00674659</v>
      </c>
    </row>
    <row r="3108" spans="1:2" x14ac:dyDescent="0.25">
      <c r="A3108" s="3">
        <v>3103</v>
      </c>
      <c r="B3108" s="3" t="str">
        <f>"00674673"</f>
        <v>00674673</v>
      </c>
    </row>
    <row r="3109" spans="1:2" x14ac:dyDescent="0.25">
      <c r="A3109" s="3">
        <v>3104</v>
      </c>
      <c r="B3109" s="3" t="str">
        <f>"00674677"</f>
        <v>00674677</v>
      </c>
    </row>
    <row r="3110" spans="1:2" x14ac:dyDescent="0.25">
      <c r="A3110" s="3">
        <v>3105</v>
      </c>
      <c r="B3110" s="3" t="str">
        <f>"00674696"</f>
        <v>00674696</v>
      </c>
    </row>
    <row r="3111" spans="1:2" x14ac:dyDescent="0.25">
      <c r="A3111" s="3">
        <v>3106</v>
      </c>
      <c r="B3111" s="3" t="str">
        <f>"00674717"</f>
        <v>00674717</v>
      </c>
    </row>
    <row r="3112" spans="1:2" x14ac:dyDescent="0.25">
      <c r="A3112" s="3">
        <v>3107</v>
      </c>
      <c r="B3112" s="3" t="str">
        <f>"00674721"</f>
        <v>00674721</v>
      </c>
    </row>
    <row r="3113" spans="1:2" x14ac:dyDescent="0.25">
      <c r="A3113" s="3">
        <v>3108</v>
      </c>
      <c r="B3113" s="3" t="str">
        <f>"00674729"</f>
        <v>00674729</v>
      </c>
    </row>
    <row r="3114" spans="1:2" x14ac:dyDescent="0.25">
      <c r="A3114" s="3">
        <v>3109</v>
      </c>
      <c r="B3114" s="3" t="str">
        <f>"00674766"</f>
        <v>00674766</v>
      </c>
    </row>
    <row r="3115" spans="1:2" x14ac:dyDescent="0.25">
      <c r="A3115" s="3">
        <v>3110</v>
      </c>
      <c r="B3115" s="3" t="str">
        <f>"00674772"</f>
        <v>00674772</v>
      </c>
    </row>
    <row r="3116" spans="1:2" x14ac:dyDescent="0.25">
      <c r="A3116" s="3">
        <v>3111</v>
      </c>
      <c r="B3116" s="3" t="str">
        <f>"00674780"</f>
        <v>00674780</v>
      </c>
    </row>
    <row r="3117" spans="1:2" x14ac:dyDescent="0.25">
      <c r="A3117" s="3">
        <v>3112</v>
      </c>
      <c r="B3117" s="3" t="str">
        <f>"00674828"</f>
        <v>00674828</v>
      </c>
    </row>
    <row r="3118" spans="1:2" x14ac:dyDescent="0.25">
      <c r="A3118" s="3">
        <v>3113</v>
      </c>
      <c r="B3118" s="3" t="str">
        <f>"00674863"</f>
        <v>00674863</v>
      </c>
    </row>
    <row r="3119" spans="1:2" x14ac:dyDescent="0.25">
      <c r="A3119" s="3">
        <v>3114</v>
      </c>
      <c r="B3119" s="3" t="str">
        <f>"00674871"</f>
        <v>00674871</v>
      </c>
    </row>
    <row r="3120" spans="1:2" x14ac:dyDescent="0.25">
      <c r="A3120" s="3">
        <v>3115</v>
      </c>
      <c r="B3120" s="3" t="str">
        <f>"00674872"</f>
        <v>00674872</v>
      </c>
    </row>
    <row r="3121" spans="1:2" x14ac:dyDescent="0.25">
      <c r="A3121" s="3">
        <v>3116</v>
      </c>
      <c r="B3121" s="3" t="str">
        <f>"00674873"</f>
        <v>00674873</v>
      </c>
    </row>
    <row r="3122" spans="1:2" x14ac:dyDescent="0.25">
      <c r="A3122" s="3">
        <v>3117</v>
      </c>
      <c r="B3122" s="3" t="str">
        <f>"00674896"</f>
        <v>00674896</v>
      </c>
    </row>
    <row r="3123" spans="1:2" x14ac:dyDescent="0.25">
      <c r="A3123" s="3">
        <v>3118</v>
      </c>
      <c r="B3123" s="3" t="str">
        <f>"00674916"</f>
        <v>00674916</v>
      </c>
    </row>
    <row r="3124" spans="1:2" x14ac:dyDescent="0.25">
      <c r="A3124" s="3">
        <v>3119</v>
      </c>
      <c r="B3124" s="3" t="str">
        <f>"00674925"</f>
        <v>00674925</v>
      </c>
    </row>
    <row r="3125" spans="1:2" x14ac:dyDescent="0.25">
      <c r="A3125" s="3">
        <v>3120</v>
      </c>
      <c r="B3125" s="3" t="str">
        <f>"00674932"</f>
        <v>00674932</v>
      </c>
    </row>
    <row r="3126" spans="1:2" x14ac:dyDescent="0.25">
      <c r="A3126" s="3">
        <v>3121</v>
      </c>
      <c r="B3126" s="3" t="str">
        <f>"00674944"</f>
        <v>00674944</v>
      </c>
    </row>
    <row r="3127" spans="1:2" x14ac:dyDescent="0.25">
      <c r="A3127" s="3">
        <v>3122</v>
      </c>
      <c r="B3127" s="3" t="str">
        <f>"00674954"</f>
        <v>00674954</v>
      </c>
    </row>
    <row r="3128" spans="1:2" x14ac:dyDescent="0.25">
      <c r="A3128" s="3">
        <v>3123</v>
      </c>
      <c r="B3128" s="3" t="str">
        <f>"00675005"</f>
        <v>00675005</v>
      </c>
    </row>
    <row r="3129" spans="1:2" x14ac:dyDescent="0.25">
      <c r="A3129" s="3">
        <v>3124</v>
      </c>
      <c r="B3129" s="3" t="str">
        <f>"00675038"</f>
        <v>00675038</v>
      </c>
    </row>
    <row r="3130" spans="1:2" x14ac:dyDescent="0.25">
      <c r="A3130" s="3">
        <v>3125</v>
      </c>
      <c r="B3130" s="3" t="str">
        <f>"00675059"</f>
        <v>00675059</v>
      </c>
    </row>
    <row r="3131" spans="1:2" x14ac:dyDescent="0.25">
      <c r="A3131" s="3">
        <v>3126</v>
      </c>
      <c r="B3131" s="3" t="str">
        <f>"00675062"</f>
        <v>00675062</v>
      </c>
    </row>
    <row r="3132" spans="1:2" x14ac:dyDescent="0.25">
      <c r="A3132" s="3">
        <v>3127</v>
      </c>
      <c r="B3132" s="3" t="str">
        <f>"00675066"</f>
        <v>00675066</v>
      </c>
    </row>
    <row r="3133" spans="1:2" x14ac:dyDescent="0.25">
      <c r="A3133" s="3">
        <v>3128</v>
      </c>
      <c r="B3133" s="3" t="str">
        <f>"00675072"</f>
        <v>00675072</v>
      </c>
    </row>
    <row r="3134" spans="1:2" x14ac:dyDescent="0.25">
      <c r="A3134" s="3">
        <v>3129</v>
      </c>
      <c r="B3134" s="3" t="str">
        <f>"00675079"</f>
        <v>00675079</v>
      </c>
    </row>
    <row r="3135" spans="1:2" x14ac:dyDescent="0.25">
      <c r="A3135" s="3">
        <v>3130</v>
      </c>
      <c r="B3135" s="3" t="str">
        <f>"00675169"</f>
        <v>00675169</v>
      </c>
    </row>
    <row r="3136" spans="1:2" x14ac:dyDescent="0.25">
      <c r="A3136" s="3">
        <v>3131</v>
      </c>
      <c r="B3136" s="3" t="str">
        <f>"00675235"</f>
        <v>00675235</v>
      </c>
    </row>
    <row r="3137" spans="1:2" x14ac:dyDescent="0.25">
      <c r="A3137" s="3">
        <v>3132</v>
      </c>
      <c r="B3137" s="3" t="str">
        <f>"00675264"</f>
        <v>00675264</v>
      </c>
    </row>
    <row r="3138" spans="1:2" x14ac:dyDescent="0.25">
      <c r="A3138" s="3">
        <v>3133</v>
      </c>
      <c r="B3138" s="3" t="str">
        <f>"00675288"</f>
        <v>00675288</v>
      </c>
    </row>
    <row r="3139" spans="1:2" x14ac:dyDescent="0.25">
      <c r="A3139" s="3">
        <v>3134</v>
      </c>
      <c r="B3139" s="3" t="str">
        <f>"00675298"</f>
        <v>00675298</v>
      </c>
    </row>
    <row r="3140" spans="1:2" x14ac:dyDescent="0.25">
      <c r="A3140" s="3">
        <v>3135</v>
      </c>
      <c r="B3140" s="3" t="str">
        <f>"00675352"</f>
        <v>00675352</v>
      </c>
    </row>
    <row r="3141" spans="1:2" x14ac:dyDescent="0.25">
      <c r="A3141" s="3">
        <v>3136</v>
      </c>
      <c r="B3141" s="3" t="str">
        <f>"00675355"</f>
        <v>00675355</v>
      </c>
    </row>
    <row r="3142" spans="1:2" x14ac:dyDescent="0.25">
      <c r="A3142" s="3">
        <v>3137</v>
      </c>
      <c r="B3142" s="3" t="str">
        <f>"00675362"</f>
        <v>00675362</v>
      </c>
    </row>
    <row r="3143" spans="1:2" x14ac:dyDescent="0.25">
      <c r="A3143" s="3">
        <v>3138</v>
      </c>
      <c r="B3143" s="3" t="str">
        <f>"00675392"</f>
        <v>00675392</v>
      </c>
    </row>
    <row r="3144" spans="1:2" x14ac:dyDescent="0.25">
      <c r="A3144" s="3">
        <v>3139</v>
      </c>
      <c r="B3144" s="3" t="str">
        <f>"00675403"</f>
        <v>00675403</v>
      </c>
    </row>
    <row r="3145" spans="1:2" x14ac:dyDescent="0.25">
      <c r="A3145" s="3">
        <v>3140</v>
      </c>
      <c r="B3145" s="3" t="str">
        <f>"00675425"</f>
        <v>00675425</v>
      </c>
    </row>
    <row r="3146" spans="1:2" x14ac:dyDescent="0.25">
      <c r="A3146" s="3">
        <v>3141</v>
      </c>
      <c r="B3146" s="3" t="str">
        <f>"00675442"</f>
        <v>00675442</v>
      </c>
    </row>
    <row r="3147" spans="1:2" x14ac:dyDescent="0.25">
      <c r="A3147" s="3">
        <v>3142</v>
      </c>
      <c r="B3147" s="3" t="str">
        <f>"00675445"</f>
        <v>00675445</v>
      </c>
    </row>
    <row r="3148" spans="1:2" x14ac:dyDescent="0.25">
      <c r="A3148" s="3">
        <v>3143</v>
      </c>
      <c r="B3148" s="3" t="str">
        <f>"00675484"</f>
        <v>00675484</v>
      </c>
    </row>
    <row r="3149" spans="1:2" x14ac:dyDescent="0.25">
      <c r="A3149" s="3">
        <v>3144</v>
      </c>
      <c r="B3149" s="3" t="str">
        <f>"00675494"</f>
        <v>00675494</v>
      </c>
    </row>
    <row r="3150" spans="1:2" x14ac:dyDescent="0.25">
      <c r="A3150" s="3">
        <v>3145</v>
      </c>
      <c r="B3150" s="3" t="str">
        <f>"00675593"</f>
        <v>00675593</v>
      </c>
    </row>
    <row r="3151" spans="1:2" x14ac:dyDescent="0.25">
      <c r="A3151" s="3">
        <v>3146</v>
      </c>
      <c r="B3151" s="3" t="str">
        <f>"00675603"</f>
        <v>00675603</v>
      </c>
    </row>
    <row r="3152" spans="1:2" x14ac:dyDescent="0.25">
      <c r="A3152" s="3">
        <v>3147</v>
      </c>
      <c r="B3152" s="3" t="str">
        <f>"00675605"</f>
        <v>00675605</v>
      </c>
    </row>
    <row r="3153" spans="1:2" x14ac:dyDescent="0.25">
      <c r="A3153" s="3">
        <v>3148</v>
      </c>
      <c r="B3153" s="3" t="str">
        <f>"00675608"</f>
        <v>00675608</v>
      </c>
    </row>
    <row r="3154" spans="1:2" x14ac:dyDescent="0.25">
      <c r="A3154" s="3">
        <v>3149</v>
      </c>
      <c r="B3154" s="3" t="str">
        <f>"00675609"</f>
        <v>00675609</v>
      </c>
    </row>
    <row r="3155" spans="1:2" x14ac:dyDescent="0.25">
      <c r="A3155" s="3">
        <v>3150</v>
      </c>
      <c r="B3155" s="3" t="str">
        <f>"00675653"</f>
        <v>00675653</v>
      </c>
    </row>
    <row r="3156" spans="1:2" x14ac:dyDescent="0.25">
      <c r="A3156" s="3">
        <v>3151</v>
      </c>
      <c r="B3156" s="3" t="str">
        <f>"00675669"</f>
        <v>00675669</v>
      </c>
    </row>
    <row r="3157" spans="1:2" x14ac:dyDescent="0.25">
      <c r="A3157" s="3">
        <v>3152</v>
      </c>
      <c r="B3157" s="3" t="str">
        <f>"00675670"</f>
        <v>00675670</v>
      </c>
    </row>
    <row r="3158" spans="1:2" x14ac:dyDescent="0.25">
      <c r="A3158" s="3">
        <v>3153</v>
      </c>
      <c r="B3158" s="3" t="str">
        <f>"00675683"</f>
        <v>00675683</v>
      </c>
    </row>
    <row r="3159" spans="1:2" x14ac:dyDescent="0.25">
      <c r="A3159" s="3">
        <v>3154</v>
      </c>
      <c r="B3159" s="3" t="str">
        <f>"00675746"</f>
        <v>00675746</v>
      </c>
    </row>
    <row r="3160" spans="1:2" x14ac:dyDescent="0.25">
      <c r="A3160" s="3">
        <v>3155</v>
      </c>
      <c r="B3160" s="3" t="str">
        <f>"00675752"</f>
        <v>00675752</v>
      </c>
    </row>
    <row r="3161" spans="1:2" x14ac:dyDescent="0.25">
      <c r="A3161" s="3">
        <v>3156</v>
      </c>
      <c r="B3161" s="3" t="str">
        <f>"00675802"</f>
        <v>00675802</v>
      </c>
    </row>
    <row r="3162" spans="1:2" x14ac:dyDescent="0.25">
      <c r="A3162" s="3">
        <v>3157</v>
      </c>
      <c r="B3162" s="3" t="str">
        <f>"00675863"</f>
        <v>00675863</v>
      </c>
    </row>
    <row r="3163" spans="1:2" x14ac:dyDescent="0.25">
      <c r="A3163" s="3">
        <v>3158</v>
      </c>
      <c r="B3163" s="3" t="str">
        <f>"00675882"</f>
        <v>00675882</v>
      </c>
    </row>
    <row r="3164" spans="1:2" x14ac:dyDescent="0.25">
      <c r="A3164" s="3">
        <v>3159</v>
      </c>
      <c r="B3164" s="3" t="str">
        <f>"00675919"</f>
        <v>00675919</v>
      </c>
    </row>
    <row r="3165" spans="1:2" x14ac:dyDescent="0.25">
      <c r="A3165" s="3">
        <v>3160</v>
      </c>
      <c r="B3165" s="3" t="str">
        <f>"00675931"</f>
        <v>00675931</v>
      </c>
    </row>
    <row r="3166" spans="1:2" x14ac:dyDescent="0.25">
      <c r="A3166" s="3">
        <v>3161</v>
      </c>
      <c r="B3166" s="3" t="str">
        <f>"00675956"</f>
        <v>00675956</v>
      </c>
    </row>
    <row r="3167" spans="1:2" x14ac:dyDescent="0.25">
      <c r="A3167" s="3">
        <v>3162</v>
      </c>
      <c r="B3167" s="3" t="str">
        <f>"00675959"</f>
        <v>00675959</v>
      </c>
    </row>
    <row r="3168" spans="1:2" x14ac:dyDescent="0.25">
      <c r="A3168" s="3">
        <v>3163</v>
      </c>
      <c r="B3168" s="3" t="str">
        <f>"00675963"</f>
        <v>00675963</v>
      </c>
    </row>
    <row r="3169" spans="1:2" x14ac:dyDescent="0.25">
      <c r="A3169" s="3">
        <v>3164</v>
      </c>
      <c r="B3169" s="3" t="str">
        <f>"00675988"</f>
        <v>00675988</v>
      </c>
    </row>
    <row r="3170" spans="1:2" x14ac:dyDescent="0.25">
      <c r="A3170" s="3">
        <v>3165</v>
      </c>
      <c r="B3170" s="3" t="str">
        <f>"00676011"</f>
        <v>00676011</v>
      </c>
    </row>
    <row r="3171" spans="1:2" x14ac:dyDescent="0.25">
      <c r="A3171" s="3">
        <v>3166</v>
      </c>
      <c r="B3171" s="3" t="str">
        <f>"00676026"</f>
        <v>00676026</v>
      </c>
    </row>
    <row r="3172" spans="1:2" x14ac:dyDescent="0.25">
      <c r="A3172" s="3">
        <v>3167</v>
      </c>
      <c r="B3172" s="3" t="str">
        <f>"00676035"</f>
        <v>00676035</v>
      </c>
    </row>
    <row r="3173" spans="1:2" x14ac:dyDescent="0.25">
      <c r="A3173" s="3">
        <v>3168</v>
      </c>
      <c r="B3173" s="3" t="str">
        <f>"00676040"</f>
        <v>00676040</v>
      </c>
    </row>
    <row r="3174" spans="1:2" x14ac:dyDescent="0.25">
      <c r="A3174" s="3">
        <v>3169</v>
      </c>
      <c r="B3174" s="3" t="str">
        <f>"00676061"</f>
        <v>00676061</v>
      </c>
    </row>
    <row r="3175" spans="1:2" x14ac:dyDescent="0.25">
      <c r="A3175" s="3">
        <v>3170</v>
      </c>
      <c r="B3175" s="3" t="str">
        <f>"00676109"</f>
        <v>00676109</v>
      </c>
    </row>
    <row r="3176" spans="1:2" x14ac:dyDescent="0.25">
      <c r="A3176" s="3">
        <v>3171</v>
      </c>
      <c r="B3176" s="3" t="str">
        <f>"00676130"</f>
        <v>00676130</v>
      </c>
    </row>
    <row r="3177" spans="1:2" x14ac:dyDescent="0.25">
      <c r="A3177" s="3">
        <v>3172</v>
      </c>
      <c r="B3177" s="3" t="str">
        <f>"00676178"</f>
        <v>00676178</v>
      </c>
    </row>
    <row r="3178" spans="1:2" x14ac:dyDescent="0.25">
      <c r="A3178" s="3">
        <v>3173</v>
      </c>
      <c r="B3178" s="3" t="str">
        <f>"00676180"</f>
        <v>00676180</v>
      </c>
    </row>
    <row r="3179" spans="1:2" x14ac:dyDescent="0.25">
      <c r="A3179" s="3">
        <v>3174</v>
      </c>
      <c r="B3179" s="3" t="str">
        <f>"00676183"</f>
        <v>00676183</v>
      </c>
    </row>
    <row r="3180" spans="1:2" x14ac:dyDescent="0.25">
      <c r="A3180" s="3">
        <v>3175</v>
      </c>
      <c r="B3180" s="3" t="str">
        <f>"00676212"</f>
        <v>00676212</v>
      </c>
    </row>
    <row r="3181" spans="1:2" x14ac:dyDescent="0.25">
      <c r="A3181" s="3">
        <v>3176</v>
      </c>
      <c r="B3181" s="3" t="str">
        <f>"00676258"</f>
        <v>00676258</v>
      </c>
    </row>
    <row r="3182" spans="1:2" x14ac:dyDescent="0.25">
      <c r="A3182" s="3">
        <v>3177</v>
      </c>
      <c r="B3182" s="3" t="str">
        <f>"00676371"</f>
        <v>00676371</v>
      </c>
    </row>
    <row r="3183" spans="1:2" x14ac:dyDescent="0.25">
      <c r="A3183" s="3">
        <v>3178</v>
      </c>
      <c r="B3183" s="3" t="str">
        <f>"00676372"</f>
        <v>00676372</v>
      </c>
    </row>
    <row r="3184" spans="1:2" x14ac:dyDescent="0.25">
      <c r="A3184" s="3">
        <v>3179</v>
      </c>
      <c r="B3184" s="3" t="str">
        <f>"00676424"</f>
        <v>00676424</v>
      </c>
    </row>
    <row r="3185" spans="1:2" x14ac:dyDescent="0.25">
      <c r="A3185" s="3">
        <v>3180</v>
      </c>
      <c r="B3185" s="3" t="str">
        <f>"00676465"</f>
        <v>00676465</v>
      </c>
    </row>
    <row r="3186" spans="1:2" x14ac:dyDescent="0.25">
      <c r="A3186" s="3">
        <v>3181</v>
      </c>
      <c r="B3186" s="3" t="str">
        <f>"00676472"</f>
        <v>00676472</v>
      </c>
    </row>
    <row r="3187" spans="1:2" x14ac:dyDescent="0.25">
      <c r="A3187" s="3">
        <v>3182</v>
      </c>
      <c r="B3187" s="3" t="str">
        <f>"00676473"</f>
        <v>00676473</v>
      </c>
    </row>
    <row r="3188" spans="1:2" x14ac:dyDescent="0.25">
      <c r="A3188" s="3">
        <v>3183</v>
      </c>
      <c r="B3188" s="3" t="str">
        <f>"00676488"</f>
        <v>00676488</v>
      </c>
    </row>
    <row r="3189" spans="1:2" x14ac:dyDescent="0.25">
      <c r="A3189" s="3">
        <v>3184</v>
      </c>
      <c r="B3189" s="3" t="str">
        <f>"00676513"</f>
        <v>00676513</v>
      </c>
    </row>
    <row r="3190" spans="1:2" x14ac:dyDescent="0.25">
      <c r="A3190" s="3">
        <v>3185</v>
      </c>
      <c r="B3190" s="3" t="str">
        <f>"00676518"</f>
        <v>00676518</v>
      </c>
    </row>
    <row r="3191" spans="1:2" x14ac:dyDescent="0.25">
      <c r="A3191" s="3">
        <v>3186</v>
      </c>
      <c r="B3191" s="3" t="str">
        <f>"00676548"</f>
        <v>00676548</v>
      </c>
    </row>
    <row r="3192" spans="1:2" x14ac:dyDescent="0.25">
      <c r="A3192" s="3">
        <v>3187</v>
      </c>
      <c r="B3192" s="3" t="str">
        <f>"00676552"</f>
        <v>00676552</v>
      </c>
    </row>
    <row r="3193" spans="1:2" x14ac:dyDescent="0.25">
      <c r="A3193" s="3">
        <v>3188</v>
      </c>
      <c r="B3193" s="3" t="str">
        <f>"00676576"</f>
        <v>00676576</v>
      </c>
    </row>
    <row r="3194" spans="1:2" x14ac:dyDescent="0.25">
      <c r="A3194" s="3">
        <v>3189</v>
      </c>
      <c r="B3194" s="3" t="str">
        <f>"00676582"</f>
        <v>00676582</v>
      </c>
    </row>
    <row r="3195" spans="1:2" x14ac:dyDescent="0.25">
      <c r="A3195" s="3">
        <v>3190</v>
      </c>
      <c r="B3195" s="3" t="str">
        <f>"00676605"</f>
        <v>00676605</v>
      </c>
    </row>
    <row r="3196" spans="1:2" x14ac:dyDescent="0.25">
      <c r="A3196" s="3">
        <v>3191</v>
      </c>
      <c r="B3196" s="3" t="str">
        <f>"00676606"</f>
        <v>00676606</v>
      </c>
    </row>
    <row r="3197" spans="1:2" x14ac:dyDescent="0.25">
      <c r="A3197" s="3">
        <v>3192</v>
      </c>
      <c r="B3197" s="3" t="str">
        <f>"00676650"</f>
        <v>00676650</v>
      </c>
    </row>
    <row r="3198" spans="1:2" x14ac:dyDescent="0.25">
      <c r="A3198" s="3">
        <v>3193</v>
      </c>
      <c r="B3198" s="3" t="str">
        <f>"00676671"</f>
        <v>00676671</v>
      </c>
    </row>
    <row r="3199" spans="1:2" x14ac:dyDescent="0.25">
      <c r="A3199" s="3">
        <v>3194</v>
      </c>
      <c r="B3199" s="3" t="str">
        <f>"00676677"</f>
        <v>00676677</v>
      </c>
    </row>
    <row r="3200" spans="1:2" x14ac:dyDescent="0.25">
      <c r="A3200" s="3">
        <v>3195</v>
      </c>
      <c r="B3200" s="3" t="str">
        <f>"00676694"</f>
        <v>00676694</v>
      </c>
    </row>
    <row r="3201" spans="1:2" x14ac:dyDescent="0.25">
      <c r="A3201" s="3">
        <v>3196</v>
      </c>
      <c r="B3201" s="3" t="str">
        <f>"00676701"</f>
        <v>00676701</v>
      </c>
    </row>
    <row r="3202" spans="1:2" x14ac:dyDescent="0.25">
      <c r="A3202" s="3">
        <v>3197</v>
      </c>
      <c r="B3202" s="3" t="str">
        <f>"00676706"</f>
        <v>00676706</v>
      </c>
    </row>
    <row r="3203" spans="1:2" x14ac:dyDescent="0.25">
      <c r="A3203" s="3">
        <v>3198</v>
      </c>
      <c r="B3203" s="3" t="str">
        <f>"00676717"</f>
        <v>00676717</v>
      </c>
    </row>
    <row r="3204" spans="1:2" x14ac:dyDescent="0.25">
      <c r="A3204" s="3">
        <v>3199</v>
      </c>
      <c r="B3204" s="3" t="str">
        <f>"00676727"</f>
        <v>00676727</v>
      </c>
    </row>
    <row r="3205" spans="1:2" x14ac:dyDescent="0.25">
      <c r="A3205" s="3">
        <v>3200</v>
      </c>
      <c r="B3205" s="3" t="str">
        <f>"00676739"</f>
        <v>00676739</v>
      </c>
    </row>
    <row r="3206" spans="1:2" x14ac:dyDescent="0.25">
      <c r="A3206" s="3">
        <v>3201</v>
      </c>
      <c r="B3206" s="3" t="str">
        <f>"00676745"</f>
        <v>00676745</v>
      </c>
    </row>
    <row r="3207" spans="1:2" x14ac:dyDescent="0.25">
      <c r="A3207" s="3">
        <v>3202</v>
      </c>
      <c r="B3207" s="3" t="str">
        <f>"00676760"</f>
        <v>00676760</v>
      </c>
    </row>
    <row r="3208" spans="1:2" x14ac:dyDescent="0.25">
      <c r="A3208" s="3">
        <v>3203</v>
      </c>
      <c r="B3208" s="3" t="str">
        <f>"00676792"</f>
        <v>00676792</v>
      </c>
    </row>
    <row r="3209" spans="1:2" x14ac:dyDescent="0.25">
      <c r="A3209" s="3">
        <v>3204</v>
      </c>
      <c r="B3209" s="3" t="str">
        <f>"00676820"</f>
        <v>00676820</v>
      </c>
    </row>
    <row r="3210" spans="1:2" x14ac:dyDescent="0.25">
      <c r="A3210" s="3">
        <v>3205</v>
      </c>
      <c r="B3210" s="3" t="str">
        <f>"00676861"</f>
        <v>00676861</v>
      </c>
    </row>
    <row r="3211" spans="1:2" x14ac:dyDescent="0.25">
      <c r="A3211" s="3">
        <v>3206</v>
      </c>
      <c r="B3211" s="3" t="str">
        <f>"00676890"</f>
        <v>00676890</v>
      </c>
    </row>
    <row r="3212" spans="1:2" x14ac:dyDescent="0.25">
      <c r="A3212" s="3">
        <v>3207</v>
      </c>
      <c r="B3212" s="3" t="str">
        <f>"00676901"</f>
        <v>00676901</v>
      </c>
    </row>
    <row r="3213" spans="1:2" x14ac:dyDescent="0.25">
      <c r="A3213" s="3">
        <v>3208</v>
      </c>
      <c r="B3213" s="3" t="str">
        <f>"00676923"</f>
        <v>00676923</v>
      </c>
    </row>
    <row r="3214" spans="1:2" x14ac:dyDescent="0.25">
      <c r="A3214" s="3">
        <v>3209</v>
      </c>
      <c r="B3214" s="3" t="str">
        <f>"00676931"</f>
        <v>00676931</v>
      </c>
    </row>
    <row r="3215" spans="1:2" x14ac:dyDescent="0.25">
      <c r="A3215" s="3">
        <v>3210</v>
      </c>
      <c r="B3215" s="3" t="str">
        <f>"00676974"</f>
        <v>00676974</v>
      </c>
    </row>
    <row r="3216" spans="1:2" x14ac:dyDescent="0.25">
      <c r="A3216" s="3">
        <v>3211</v>
      </c>
      <c r="B3216" s="3" t="str">
        <f>"00676977"</f>
        <v>00676977</v>
      </c>
    </row>
    <row r="3217" spans="1:2" x14ac:dyDescent="0.25">
      <c r="A3217" s="3">
        <v>3212</v>
      </c>
      <c r="B3217" s="3" t="str">
        <f>"00676978"</f>
        <v>00676978</v>
      </c>
    </row>
    <row r="3218" spans="1:2" x14ac:dyDescent="0.25">
      <c r="A3218" s="3">
        <v>3213</v>
      </c>
      <c r="B3218" s="3" t="str">
        <f>"00677035"</f>
        <v>00677035</v>
      </c>
    </row>
    <row r="3219" spans="1:2" x14ac:dyDescent="0.25">
      <c r="A3219" s="3">
        <v>3214</v>
      </c>
      <c r="B3219" s="3" t="str">
        <f>"00677064"</f>
        <v>00677064</v>
      </c>
    </row>
    <row r="3220" spans="1:2" x14ac:dyDescent="0.25">
      <c r="A3220" s="3">
        <v>3215</v>
      </c>
      <c r="B3220" s="3" t="str">
        <f>"00677132"</f>
        <v>00677132</v>
      </c>
    </row>
    <row r="3221" spans="1:2" x14ac:dyDescent="0.25">
      <c r="A3221" s="3">
        <v>3216</v>
      </c>
      <c r="B3221" s="3" t="str">
        <f>"00677138"</f>
        <v>00677138</v>
      </c>
    </row>
    <row r="3222" spans="1:2" x14ac:dyDescent="0.25">
      <c r="A3222" s="3">
        <v>3217</v>
      </c>
      <c r="B3222" s="3" t="str">
        <f>"00677159"</f>
        <v>00677159</v>
      </c>
    </row>
    <row r="3223" spans="1:2" x14ac:dyDescent="0.25">
      <c r="A3223" s="3">
        <v>3218</v>
      </c>
      <c r="B3223" s="3" t="str">
        <f>"00677167"</f>
        <v>00677167</v>
      </c>
    </row>
    <row r="3224" spans="1:2" x14ac:dyDescent="0.25">
      <c r="A3224" s="3">
        <v>3219</v>
      </c>
      <c r="B3224" s="3" t="str">
        <f>"00677175"</f>
        <v>00677175</v>
      </c>
    </row>
    <row r="3225" spans="1:2" x14ac:dyDescent="0.25">
      <c r="A3225" s="3">
        <v>3220</v>
      </c>
      <c r="B3225" s="3" t="str">
        <f>"00677194"</f>
        <v>00677194</v>
      </c>
    </row>
    <row r="3226" spans="1:2" x14ac:dyDescent="0.25">
      <c r="A3226" s="3">
        <v>3221</v>
      </c>
      <c r="B3226" s="3" t="str">
        <f>"00677219"</f>
        <v>00677219</v>
      </c>
    </row>
    <row r="3227" spans="1:2" x14ac:dyDescent="0.25">
      <c r="A3227" s="3">
        <v>3222</v>
      </c>
      <c r="B3227" s="3" t="str">
        <f>"00677280"</f>
        <v>00677280</v>
      </c>
    </row>
    <row r="3228" spans="1:2" x14ac:dyDescent="0.25">
      <c r="A3228" s="3">
        <v>3223</v>
      </c>
      <c r="B3228" s="3" t="str">
        <f>"00677288"</f>
        <v>00677288</v>
      </c>
    </row>
    <row r="3229" spans="1:2" x14ac:dyDescent="0.25">
      <c r="A3229" s="3">
        <v>3224</v>
      </c>
      <c r="B3229" s="3" t="str">
        <f>"00677306"</f>
        <v>00677306</v>
      </c>
    </row>
    <row r="3230" spans="1:2" x14ac:dyDescent="0.25">
      <c r="A3230" s="3">
        <v>3225</v>
      </c>
      <c r="B3230" s="3" t="str">
        <f>"00677328"</f>
        <v>00677328</v>
      </c>
    </row>
    <row r="3231" spans="1:2" x14ac:dyDescent="0.25">
      <c r="A3231" s="3">
        <v>3226</v>
      </c>
      <c r="B3231" s="3" t="str">
        <f>"00677360"</f>
        <v>00677360</v>
      </c>
    </row>
    <row r="3232" spans="1:2" x14ac:dyDescent="0.25">
      <c r="A3232" s="3">
        <v>3227</v>
      </c>
      <c r="B3232" s="3" t="str">
        <f>"00677380"</f>
        <v>00677380</v>
      </c>
    </row>
    <row r="3233" spans="1:2" x14ac:dyDescent="0.25">
      <c r="A3233" s="3">
        <v>3228</v>
      </c>
      <c r="B3233" s="3" t="str">
        <f>"00677394"</f>
        <v>00677394</v>
      </c>
    </row>
    <row r="3234" spans="1:2" x14ac:dyDescent="0.25">
      <c r="A3234" s="3">
        <v>3229</v>
      </c>
      <c r="B3234" s="3" t="str">
        <f>"00677426"</f>
        <v>00677426</v>
      </c>
    </row>
    <row r="3235" spans="1:2" x14ac:dyDescent="0.25">
      <c r="A3235" s="3">
        <v>3230</v>
      </c>
      <c r="B3235" s="3" t="str">
        <f>"00677436"</f>
        <v>00677436</v>
      </c>
    </row>
    <row r="3236" spans="1:2" x14ac:dyDescent="0.25">
      <c r="A3236" s="3">
        <v>3231</v>
      </c>
      <c r="B3236" s="3" t="str">
        <f>"00677442"</f>
        <v>00677442</v>
      </c>
    </row>
    <row r="3237" spans="1:2" x14ac:dyDescent="0.25">
      <c r="A3237" s="3">
        <v>3232</v>
      </c>
      <c r="B3237" s="3" t="str">
        <f>"00677443"</f>
        <v>00677443</v>
      </c>
    </row>
    <row r="3238" spans="1:2" x14ac:dyDescent="0.25">
      <c r="A3238" s="3">
        <v>3233</v>
      </c>
      <c r="B3238" s="3" t="str">
        <f>"00677508"</f>
        <v>00677508</v>
      </c>
    </row>
    <row r="3239" spans="1:2" x14ac:dyDescent="0.25">
      <c r="A3239" s="3">
        <v>3234</v>
      </c>
      <c r="B3239" s="3" t="str">
        <f>"00677524"</f>
        <v>00677524</v>
      </c>
    </row>
    <row r="3240" spans="1:2" x14ac:dyDescent="0.25">
      <c r="A3240" s="3">
        <v>3235</v>
      </c>
      <c r="B3240" s="3" t="str">
        <f>"00677570"</f>
        <v>00677570</v>
      </c>
    </row>
    <row r="3241" spans="1:2" x14ac:dyDescent="0.25">
      <c r="A3241" s="3">
        <v>3236</v>
      </c>
      <c r="B3241" s="3" t="str">
        <f>"00677618"</f>
        <v>00677618</v>
      </c>
    </row>
    <row r="3242" spans="1:2" x14ac:dyDescent="0.25">
      <c r="A3242" s="3">
        <v>3237</v>
      </c>
      <c r="B3242" s="3" t="str">
        <f>"00677619"</f>
        <v>00677619</v>
      </c>
    </row>
    <row r="3243" spans="1:2" x14ac:dyDescent="0.25">
      <c r="A3243" s="3">
        <v>3238</v>
      </c>
      <c r="B3243" s="3" t="str">
        <f>"00677625"</f>
        <v>00677625</v>
      </c>
    </row>
    <row r="3244" spans="1:2" x14ac:dyDescent="0.25">
      <c r="A3244" s="3">
        <v>3239</v>
      </c>
      <c r="B3244" s="3" t="str">
        <f>"00677652"</f>
        <v>00677652</v>
      </c>
    </row>
    <row r="3245" spans="1:2" x14ac:dyDescent="0.25">
      <c r="A3245" s="3">
        <v>3240</v>
      </c>
      <c r="B3245" s="3" t="str">
        <f>"00677690"</f>
        <v>00677690</v>
      </c>
    </row>
    <row r="3246" spans="1:2" x14ac:dyDescent="0.25">
      <c r="A3246" s="3">
        <v>3241</v>
      </c>
      <c r="B3246" s="3" t="str">
        <f>"00677754"</f>
        <v>00677754</v>
      </c>
    </row>
    <row r="3247" spans="1:2" x14ac:dyDescent="0.25">
      <c r="A3247" s="3">
        <v>3242</v>
      </c>
      <c r="B3247" s="3" t="str">
        <f>"00677814"</f>
        <v>00677814</v>
      </c>
    </row>
    <row r="3248" spans="1:2" x14ac:dyDescent="0.25">
      <c r="A3248" s="3">
        <v>3243</v>
      </c>
      <c r="B3248" s="3" t="str">
        <f>"00677818"</f>
        <v>00677818</v>
      </c>
    </row>
    <row r="3249" spans="1:2" x14ac:dyDescent="0.25">
      <c r="A3249" s="3">
        <v>3244</v>
      </c>
      <c r="B3249" s="3" t="str">
        <f>"00677872"</f>
        <v>00677872</v>
      </c>
    </row>
    <row r="3250" spans="1:2" x14ac:dyDescent="0.25">
      <c r="A3250" s="3">
        <v>3245</v>
      </c>
      <c r="B3250" s="3" t="str">
        <f>"00677874"</f>
        <v>00677874</v>
      </c>
    </row>
    <row r="3251" spans="1:2" x14ac:dyDescent="0.25">
      <c r="A3251" s="3">
        <v>3246</v>
      </c>
      <c r="B3251" s="3" t="str">
        <f>"00677879"</f>
        <v>00677879</v>
      </c>
    </row>
    <row r="3252" spans="1:2" x14ac:dyDescent="0.25">
      <c r="A3252" s="3">
        <v>3247</v>
      </c>
      <c r="B3252" s="3" t="str">
        <f>"00677881"</f>
        <v>00677881</v>
      </c>
    </row>
    <row r="3253" spans="1:2" x14ac:dyDescent="0.25">
      <c r="A3253" s="3">
        <v>3248</v>
      </c>
      <c r="B3253" s="3" t="str">
        <f>"00677914"</f>
        <v>00677914</v>
      </c>
    </row>
    <row r="3254" spans="1:2" x14ac:dyDescent="0.25">
      <c r="A3254" s="3">
        <v>3249</v>
      </c>
      <c r="B3254" s="3" t="str">
        <f>"00677930"</f>
        <v>00677930</v>
      </c>
    </row>
    <row r="3255" spans="1:2" x14ac:dyDescent="0.25">
      <c r="A3255" s="3">
        <v>3250</v>
      </c>
      <c r="B3255" s="3" t="str">
        <f>"00677943"</f>
        <v>00677943</v>
      </c>
    </row>
    <row r="3256" spans="1:2" x14ac:dyDescent="0.25">
      <c r="A3256" s="3">
        <v>3251</v>
      </c>
      <c r="B3256" s="3" t="str">
        <f>"00678032"</f>
        <v>00678032</v>
      </c>
    </row>
    <row r="3257" spans="1:2" x14ac:dyDescent="0.25">
      <c r="A3257" s="3">
        <v>3252</v>
      </c>
      <c r="B3257" s="3" t="str">
        <f>"00678040"</f>
        <v>00678040</v>
      </c>
    </row>
    <row r="3258" spans="1:2" x14ac:dyDescent="0.25">
      <c r="A3258" s="3">
        <v>3253</v>
      </c>
      <c r="B3258" s="3" t="str">
        <f>"00678062"</f>
        <v>00678062</v>
      </c>
    </row>
    <row r="3259" spans="1:2" x14ac:dyDescent="0.25">
      <c r="A3259" s="3">
        <v>3254</v>
      </c>
      <c r="B3259" s="3" t="str">
        <f>"00678083"</f>
        <v>00678083</v>
      </c>
    </row>
    <row r="3260" spans="1:2" x14ac:dyDescent="0.25">
      <c r="A3260" s="3">
        <v>3255</v>
      </c>
      <c r="B3260" s="3" t="str">
        <f>"00678091"</f>
        <v>00678091</v>
      </c>
    </row>
    <row r="3261" spans="1:2" x14ac:dyDescent="0.25">
      <c r="A3261" s="3">
        <v>3256</v>
      </c>
      <c r="B3261" s="3" t="str">
        <f>"00678100"</f>
        <v>00678100</v>
      </c>
    </row>
    <row r="3262" spans="1:2" x14ac:dyDescent="0.25">
      <c r="A3262" s="3">
        <v>3257</v>
      </c>
      <c r="B3262" s="3" t="str">
        <f>"00678103"</f>
        <v>00678103</v>
      </c>
    </row>
    <row r="3263" spans="1:2" x14ac:dyDescent="0.25">
      <c r="A3263" s="3">
        <v>3258</v>
      </c>
      <c r="B3263" s="3" t="str">
        <f>"00678120"</f>
        <v>00678120</v>
      </c>
    </row>
    <row r="3264" spans="1:2" x14ac:dyDescent="0.25">
      <c r="A3264" s="3">
        <v>3259</v>
      </c>
      <c r="B3264" s="3" t="str">
        <f>"00678147"</f>
        <v>00678147</v>
      </c>
    </row>
    <row r="3265" spans="1:2" x14ac:dyDescent="0.25">
      <c r="A3265" s="3">
        <v>3260</v>
      </c>
      <c r="B3265" s="3" t="str">
        <f>"00678162"</f>
        <v>00678162</v>
      </c>
    </row>
    <row r="3266" spans="1:2" x14ac:dyDescent="0.25">
      <c r="A3266" s="3">
        <v>3261</v>
      </c>
      <c r="B3266" s="3" t="str">
        <f>"00678171"</f>
        <v>00678171</v>
      </c>
    </row>
    <row r="3267" spans="1:2" x14ac:dyDescent="0.25">
      <c r="A3267" s="3">
        <v>3262</v>
      </c>
      <c r="B3267" s="3" t="str">
        <f>"00678178"</f>
        <v>00678178</v>
      </c>
    </row>
    <row r="3268" spans="1:2" x14ac:dyDescent="0.25">
      <c r="A3268" s="3">
        <v>3263</v>
      </c>
      <c r="B3268" s="3" t="str">
        <f>"00678183"</f>
        <v>00678183</v>
      </c>
    </row>
    <row r="3269" spans="1:2" x14ac:dyDescent="0.25">
      <c r="A3269" s="3">
        <v>3264</v>
      </c>
      <c r="B3269" s="3" t="str">
        <f>"00678197"</f>
        <v>00678197</v>
      </c>
    </row>
    <row r="3270" spans="1:2" x14ac:dyDescent="0.25">
      <c r="A3270" s="3">
        <v>3265</v>
      </c>
      <c r="B3270" s="3" t="str">
        <f>"00678207"</f>
        <v>00678207</v>
      </c>
    </row>
    <row r="3271" spans="1:2" x14ac:dyDescent="0.25">
      <c r="A3271" s="3">
        <v>3266</v>
      </c>
      <c r="B3271" s="3" t="str">
        <f>"00678232"</f>
        <v>00678232</v>
      </c>
    </row>
    <row r="3272" spans="1:2" x14ac:dyDescent="0.25">
      <c r="A3272" s="3">
        <v>3267</v>
      </c>
      <c r="B3272" s="3" t="str">
        <f>"00678273"</f>
        <v>00678273</v>
      </c>
    </row>
    <row r="3273" spans="1:2" x14ac:dyDescent="0.25">
      <c r="A3273" s="3">
        <v>3268</v>
      </c>
      <c r="B3273" s="3" t="str">
        <f>"00678339"</f>
        <v>00678339</v>
      </c>
    </row>
    <row r="3274" spans="1:2" x14ac:dyDescent="0.25">
      <c r="A3274" s="3">
        <v>3269</v>
      </c>
      <c r="B3274" s="3" t="str">
        <f>"00678353"</f>
        <v>00678353</v>
      </c>
    </row>
    <row r="3275" spans="1:2" x14ac:dyDescent="0.25">
      <c r="A3275" s="3">
        <v>3270</v>
      </c>
      <c r="B3275" s="3" t="str">
        <f>"00678360"</f>
        <v>00678360</v>
      </c>
    </row>
    <row r="3276" spans="1:2" x14ac:dyDescent="0.25">
      <c r="A3276" s="3">
        <v>3271</v>
      </c>
      <c r="B3276" s="3" t="str">
        <f>"00678365"</f>
        <v>00678365</v>
      </c>
    </row>
    <row r="3277" spans="1:2" x14ac:dyDescent="0.25">
      <c r="A3277" s="3">
        <v>3272</v>
      </c>
      <c r="B3277" s="3" t="str">
        <f>"00678401"</f>
        <v>00678401</v>
      </c>
    </row>
    <row r="3278" spans="1:2" x14ac:dyDescent="0.25">
      <c r="A3278" s="3">
        <v>3273</v>
      </c>
      <c r="B3278" s="3" t="str">
        <f>"00678497"</f>
        <v>00678497</v>
      </c>
    </row>
    <row r="3279" spans="1:2" x14ac:dyDescent="0.25">
      <c r="A3279" s="3">
        <v>3274</v>
      </c>
      <c r="B3279" s="3" t="str">
        <f>"00678502"</f>
        <v>00678502</v>
      </c>
    </row>
    <row r="3280" spans="1:2" x14ac:dyDescent="0.25">
      <c r="A3280" s="3">
        <v>3275</v>
      </c>
      <c r="B3280" s="3" t="str">
        <f>"00678509"</f>
        <v>00678509</v>
      </c>
    </row>
    <row r="3281" spans="1:2" x14ac:dyDescent="0.25">
      <c r="A3281" s="3">
        <v>3276</v>
      </c>
      <c r="B3281" s="3" t="str">
        <f>"00678623"</f>
        <v>00678623</v>
      </c>
    </row>
    <row r="3282" spans="1:2" x14ac:dyDescent="0.25">
      <c r="A3282" s="3">
        <v>3277</v>
      </c>
      <c r="B3282" s="3" t="str">
        <f>"00678635"</f>
        <v>00678635</v>
      </c>
    </row>
    <row r="3283" spans="1:2" x14ac:dyDescent="0.25">
      <c r="A3283" s="3">
        <v>3278</v>
      </c>
      <c r="B3283" s="3" t="str">
        <f>"00678643"</f>
        <v>00678643</v>
      </c>
    </row>
    <row r="3284" spans="1:2" x14ac:dyDescent="0.25">
      <c r="A3284" s="3">
        <v>3279</v>
      </c>
      <c r="B3284" s="3" t="str">
        <f>"00678659"</f>
        <v>00678659</v>
      </c>
    </row>
    <row r="3285" spans="1:2" x14ac:dyDescent="0.25">
      <c r="A3285" s="3">
        <v>3280</v>
      </c>
      <c r="B3285" s="3" t="str">
        <f>"00678663"</f>
        <v>00678663</v>
      </c>
    </row>
    <row r="3286" spans="1:2" x14ac:dyDescent="0.25">
      <c r="A3286" s="3">
        <v>3281</v>
      </c>
      <c r="B3286" s="3" t="str">
        <f>"00678672"</f>
        <v>00678672</v>
      </c>
    </row>
    <row r="3287" spans="1:2" x14ac:dyDescent="0.25">
      <c r="A3287" s="3">
        <v>3282</v>
      </c>
      <c r="B3287" s="3" t="str">
        <f>"00678681"</f>
        <v>00678681</v>
      </c>
    </row>
    <row r="3288" spans="1:2" x14ac:dyDescent="0.25">
      <c r="A3288" s="3">
        <v>3283</v>
      </c>
      <c r="B3288" s="3" t="str">
        <f>"00678716"</f>
        <v>00678716</v>
      </c>
    </row>
    <row r="3289" spans="1:2" x14ac:dyDescent="0.25">
      <c r="A3289" s="3">
        <v>3284</v>
      </c>
      <c r="B3289" s="3" t="str">
        <f>"00678727"</f>
        <v>00678727</v>
      </c>
    </row>
    <row r="3290" spans="1:2" x14ac:dyDescent="0.25">
      <c r="A3290" s="3">
        <v>3285</v>
      </c>
      <c r="B3290" s="3" t="str">
        <f>"00678743"</f>
        <v>00678743</v>
      </c>
    </row>
    <row r="3291" spans="1:2" x14ac:dyDescent="0.25">
      <c r="A3291" s="3">
        <v>3286</v>
      </c>
      <c r="B3291" s="3" t="str">
        <f>"00678761"</f>
        <v>00678761</v>
      </c>
    </row>
    <row r="3292" spans="1:2" x14ac:dyDescent="0.25">
      <c r="A3292" s="3">
        <v>3287</v>
      </c>
      <c r="B3292" s="3" t="str">
        <f>"00678777"</f>
        <v>00678777</v>
      </c>
    </row>
    <row r="3293" spans="1:2" x14ac:dyDescent="0.25">
      <c r="A3293" s="3">
        <v>3288</v>
      </c>
      <c r="B3293" s="3" t="str">
        <f>"00678833"</f>
        <v>00678833</v>
      </c>
    </row>
    <row r="3294" spans="1:2" x14ac:dyDescent="0.25">
      <c r="A3294" s="3">
        <v>3289</v>
      </c>
      <c r="B3294" s="3" t="str">
        <f>"00678938"</f>
        <v>00678938</v>
      </c>
    </row>
    <row r="3295" spans="1:2" x14ac:dyDescent="0.25">
      <c r="A3295" s="3">
        <v>3290</v>
      </c>
      <c r="B3295" s="3" t="str">
        <f>"00679057"</f>
        <v>00679057</v>
      </c>
    </row>
    <row r="3296" spans="1:2" x14ac:dyDescent="0.25">
      <c r="A3296" s="3">
        <v>3291</v>
      </c>
      <c r="B3296" s="3" t="str">
        <f>"00679089"</f>
        <v>00679089</v>
      </c>
    </row>
    <row r="3297" spans="1:2" x14ac:dyDescent="0.25">
      <c r="A3297" s="3">
        <v>3292</v>
      </c>
      <c r="B3297" s="3" t="str">
        <f>"00679090"</f>
        <v>00679090</v>
      </c>
    </row>
    <row r="3298" spans="1:2" x14ac:dyDescent="0.25">
      <c r="A3298" s="3">
        <v>3293</v>
      </c>
      <c r="B3298" s="3" t="str">
        <f>"00679110"</f>
        <v>00679110</v>
      </c>
    </row>
    <row r="3299" spans="1:2" x14ac:dyDescent="0.25">
      <c r="A3299" s="3">
        <v>3294</v>
      </c>
      <c r="B3299" s="3" t="str">
        <f>"00679113"</f>
        <v>00679113</v>
      </c>
    </row>
    <row r="3300" spans="1:2" x14ac:dyDescent="0.25">
      <c r="A3300" s="3">
        <v>3295</v>
      </c>
      <c r="B3300" s="3" t="str">
        <f>"00679124"</f>
        <v>00679124</v>
      </c>
    </row>
    <row r="3301" spans="1:2" x14ac:dyDescent="0.25">
      <c r="A3301" s="3">
        <v>3296</v>
      </c>
      <c r="B3301" s="3" t="str">
        <f>"00679172"</f>
        <v>00679172</v>
      </c>
    </row>
    <row r="3302" spans="1:2" x14ac:dyDescent="0.25">
      <c r="A3302" s="3">
        <v>3297</v>
      </c>
      <c r="B3302" s="3" t="str">
        <f>"00679179"</f>
        <v>00679179</v>
      </c>
    </row>
    <row r="3303" spans="1:2" x14ac:dyDescent="0.25">
      <c r="A3303" s="3">
        <v>3298</v>
      </c>
      <c r="B3303" s="3" t="str">
        <f>"00679181"</f>
        <v>00679181</v>
      </c>
    </row>
    <row r="3304" spans="1:2" x14ac:dyDescent="0.25">
      <c r="A3304" s="3">
        <v>3299</v>
      </c>
      <c r="B3304" s="3" t="str">
        <f>"00679182"</f>
        <v>00679182</v>
      </c>
    </row>
    <row r="3305" spans="1:2" x14ac:dyDescent="0.25">
      <c r="A3305" s="3">
        <v>3300</v>
      </c>
      <c r="B3305" s="3" t="str">
        <f>"00679199"</f>
        <v>00679199</v>
      </c>
    </row>
    <row r="3306" spans="1:2" x14ac:dyDescent="0.25">
      <c r="A3306" s="3">
        <v>3301</v>
      </c>
      <c r="B3306" s="3" t="str">
        <f>"00679212"</f>
        <v>00679212</v>
      </c>
    </row>
    <row r="3307" spans="1:2" x14ac:dyDescent="0.25">
      <c r="A3307" s="3">
        <v>3302</v>
      </c>
      <c r="B3307" s="3" t="str">
        <f>"00679221"</f>
        <v>00679221</v>
      </c>
    </row>
    <row r="3308" spans="1:2" x14ac:dyDescent="0.25">
      <c r="A3308" s="3">
        <v>3303</v>
      </c>
      <c r="B3308" s="3" t="str">
        <f>"00679282"</f>
        <v>00679282</v>
      </c>
    </row>
    <row r="3309" spans="1:2" x14ac:dyDescent="0.25">
      <c r="A3309" s="3">
        <v>3304</v>
      </c>
      <c r="B3309" s="3" t="str">
        <f>"00679291"</f>
        <v>00679291</v>
      </c>
    </row>
    <row r="3310" spans="1:2" x14ac:dyDescent="0.25">
      <c r="A3310" s="3">
        <v>3305</v>
      </c>
      <c r="B3310" s="3" t="str">
        <f>"00679301"</f>
        <v>00679301</v>
      </c>
    </row>
    <row r="3311" spans="1:2" x14ac:dyDescent="0.25">
      <c r="A3311" s="3">
        <v>3306</v>
      </c>
      <c r="B3311" s="3" t="str">
        <f>"00679369"</f>
        <v>00679369</v>
      </c>
    </row>
    <row r="3312" spans="1:2" x14ac:dyDescent="0.25">
      <c r="A3312" s="3">
        <v>3307</v>
      </c>
      <c r="B3312" s="3" t="str">
        <f>"00679381"</f>
        <v>00679381</v>
      </c>
    </row>
    <row r="3313" spans="1:2" x14ac:dyDescent="0.25">
      <c r="A3313" s="3">
        <v>3308</v>
      </c>
      <c r="B3313" s="3" t="str">
        <f>"00679393"</f>
        <v>00679393</v>
      </c>
    </row>
    <row r="3314" spans="1:2" x14ac:dyDescent="0.25">
      <c r="A3314" s="3">
        <v>3309</v>
      </c>
      <c r="B3314" s="3" t="str">
        <f>"00679401"</f>
        <v>00679401</v>
      </c>
    </row>
    <row r="3315" spans="1:2" x14ac:dyDescent="0.25">
      <c r="A3315" s="3">
        <v>3310</v>
      </c>
      <c r="B3315" s="3" t="str">
        <f>"00679415"</f>
        <v>00679415</v>
      </c>
    </row>
    <row r="3316" spans="1:2" x14ac:dyDescent="0.25">
      <c r="A3316" s="3">
        <v>3311</v>
      </c>
      <c r="B3316" s="3" t="str">
        <f>"00679426"</f>
        <v>00679426</v>
      </c>
    </row>
    <row r="3317" spans="1:2" x14ac:dyDescent="0.25">
      <c r="A3317" s="3">
        <v>3312</v>
      </c>
      <c r="B3317" s="3" t="str">
        <f>"00679428"</f>
        <v>00679428</v>
      </c>
    </row>
    <row r="3318" spans="1:2" x14ac:dyDescent="0.25">
      <c r="A3318" s="3">
        <v>3313</v>
      </c>
      <c r="B3318" s="3" t="str">
        <f>"00679445"</f>
        <v>00679445</v>
      </c>
    </row>
    <row r="3319" spans="1:2" x14ac:dyDescent="0.25">
      <c r="A3319" s="3">
        <v>3314</v>
      </c>
      <c r="B3319" s="3" t="str">
        <f>"00679452"</f>
        <v>00679452</v>
      </c>
    </row>
    <row r="3320" spans="1:2" x14ac:dyDescent="0.25">
      <c r="A3320" s="3">
        <v>3315</v>
      </c>
      <c r="B3320" s="3" t="str">
        <f>"00679462"</f>
        <v>00679462</v>
      </c>
    </row>
    <row r="3321" spans="1:2" x14ac:dyDescent="0.25">
      <c r="A3321" s="3">
        <v>3316</v>
      </c>
      <c r="B3321" s="3" t="str">
        <f>"00679506"</f>
        <v>00679506</v>
      </c>
    </row>
    <row r="3322" spans="1:2" x14ac:dyDescent="0.25">
      <c r="A3322" s="3">
        <v>3317</v>
      </c>
      <c r="B3322" s="3" t="str">
        <f>"00679517"</f>
        <v>00679517</v>
      </c>
    </row>
    <row r="3323" spans="1:2" x14ac:dyDescent="0.25">
      <c r="A3323" s="3">
        <v>3318</v>
      </c>
      <c r="B3323" s="3" t="str">
        <f>"00679526"</f>
        <v>00679526</v>
      </c>
    </row>
    <row r="3324" spans="1:2" x14ac:dyDescent="0.25">
      <c r="A3324" s="3">
        <v>3319</v>
      </c>
      <c r="B3324" s="3" t="str">
        <f>"00679531"</f>
        <v>00679531</v>
      </c>
    </row>
    <row r="3325" spans="1:2" x14ac:dyDescent="0.25">
      <c r="A3325" s="3">
        <v>3320</v>
      </c>
      <c r="B3325" s="3" t="str">
        <f>"00679551"</f>
        <v>00679551</v>
      </c>
    </row>
    <row r="3326" spans="1:2" x14ac:dyDescent="0.25">
      <c r="A3326" s="3">
        <v>3321</v>
      </c>
      <c r="B3326" s="3" t="str">
        <f>"00679580"</f>
        <v>00679580</v>
      </c>
    </row>
    <row r="3327" spans="1:2" x14ac:dyDescent="0.25">
      <c r="A3327" s="3">
        <v>3322</v>
      </c>
      <c r="B3327" s="3" t="str">
        <f>"00679589"</f>
        <v>00679589</v>
      </c>
    </row>
    <row r="3328" spans="1:2" x14ac:dyDescent="0.25">
      <c r="A3328" s="3">
        <v>3323</v>
      </c>
      <c r="B3328" s="3" t="str">
        <f>"00679604"</f>
        <v>00679604</v>
      </c>
    </row>
    <row r="3329" spans="1:2" x14ac:dyDescent="0.25">
      <c r="A3329" s="3">
        <v>3324</v>
      </c>
      <c r="B3329" s="3" t="str">
        <f>"00679609"</f>
        <v>00679609</v>
      </c>
    </row>
    <row r="3330" spans="1:2" x14ac:dyDescent="0.25">
      <c r="A3330" s="3">
        <v>3325</v>
      </c>
      <c r="B3330" s="3" t="str">
        <f>"00679638"</f>
        <v>00679638</v>
      </c>
    </row>
    <row r="3331" spans="1:2" x14ac:dyDescent="0.25">
      <c r="A3331" s="3">
        <v>3326</v>
      </c>
      <c r="B3331" s="3" t="str">
        <f>"00679679"</f>
        <v>00679679</v>
      </c>
    </row>
    <row r="3332" spans="1:2" x14ac:dyDescent="0.25">
      <c r="A3332" s="3">
        <v>3327</v>
      </c>
      <c r="B3332" s="3" t="str">
        <f>"00679681"</f>
        <v>00679681</v>
      </c>
    </row>
    <row r="3333" spans="1:2" x14ac:dyDescent="0.25">
      <c r="A3333" s="3">
        <v>3328</v>
      </c>
      <c r="B3333" s="3" t="str">
        <f>"00679714"</f>
        <v>00679714</v>
      </c>
    </row>
    <row r="3334" spans="1:2" x14ac:dyDescent="0.25">
      <c r="A3334" s="3">
        <v>3329</v>
      </c>
      <c r="B3334" s="3" t="str">
        <f>"00679752"</f>
        <v>00679752</v>
      </c>
    </row>
    <row r="3335" spans="1:2" x14ac:dyDescent="0.25">
      <c r="A3335" s="3">
        <v>3330</v>
      </c>
      <c r="B3335" s="3" t="str">
        <f>"00679760"</f>
        <v>00679760</v>
      </c>
    </row>
    <row r="3336" spans="1:2" x14ac:dyDescent="0.25">
      <c r="A3336" s="3">
        <v>3331</v>
      </c>
      <c r="B3336" s="3" t="str">
        <f>"00679773"</f>
        <v>00679773</v>
      </c>
    </row>
    <row r="3337" spans="1:2" x14ac:dyDescent="0.25">
      <c r="A3337" s="3">
        <v>3332</v>
      </c>
      <c r="B3337" s="3" t="str">
        <f>"00679861"</f>
        <v>00679861</v>
      </c>
    </row>
    <row r="3338" spans="1:2" x14ac:dyDescent="0.25">
      <c r="A3338" s="3">
        <v>3333</v>
      </c>
      <c r="B3338" s="3" t="str">
        <f>"00679888"</f>
        <v>00679888</v>
      </c>
    </row>
    <row r="3339" spans="1:2" x14ac:dyDescent="0.25">
      <c r="A3339" s="3">
        <v>3334</v>
      </c>
      <c r="B3339" s="3" t="str">
        <f>"00679950"</f>
        <v>00679950</v>
      </c>
    </row>
    <row r="3340" spans="1:2" x14ac:dyDescent="0.25">
      <c r="A3340" s="3">
        <v>3335</v>
      </c>
      <c r="B3340" s="3" t="str">
        <f>"00679970"</f>
        <v>00679970</v>
      </c>
    </row>
    <row r="3341" spans="1:2" x14ac:dyDescent="0.25">
      <c r="A3341" s="3">
        <v>3336</v>
      </c>
      <c r="B3341" s="3" t="str">
        <f>"00680022"</f>
        <v>00680022</v>
      </c>
    </row>
    <row r="3342" spans="1:2" x14ac:dyDescent="0.25">
      <c r="A3342" s="3">
        <v>3337</v>
      </c>
      <c r="B3342" s="3" t="str">
        <f>"00680065"</f>
        <v>00680065</v>
      </c>
    </row>
    <row r="3343" spans="1:2" x14ac:dyDescent="0.25">
      <c r="A3343" s="3">
        <v>3338</v>
      </c>
      <c r="B3343" s="3" t="str">
        <f>"00680072"</f>
        <v>00680072</v>
      </c>
    </row>
    <row r="3344" spans="1:2" x14ac:dyDescent="0.25">
      <c r="A3344" s="3">
        <v>3339</v>
      </c>
      <c r="B3344" s="3" t="str">
        <f>"00680148"</f>
        <v>00680148</v>
      </c>
    </row>
    <row r="3345" spans="1:2" x14ac:dyDescent="0.25">
      <c r="A3345" s="3">
        <v>3340</v>
      </c>
      <c r="B3345" s="3" t="str">
        <f>"00680153"</f>
        <v>00680153</v>
      </c>
    </row>
    <row r="3346" spans="1:2" x14ac:dyDescent="0.25">
      <c r="A3346" s="3">
        <v>3341</v>
      </c>
      <c r="B3346" s="3" t="str">
        <f>"00680156"</f>
        <v>00680156</v>
      </c>
    </row>
    <row r="3347" spans="1:2" x14ac:dyDescent="0.25">
      <c r="A3347" s="3">
        <v>3342</v>
      </c>
      <c r="B3347" s="3" t="str">
        <f>"00680167"</f>
        <v>00680167</v>
      </c>
    </row>
    <row r="3348" spans="1:2" x14ac:dyDescent="0.25">
      <c r="A3348" s="3">
        <v>3343</v>
      </c>
      <c r="B3348" s="3" t="str">
        <f>"00680173"</f>
        <v>00680173</v>
      </c>
    </row>
    <row r="3349" spans="1:2" x14ac:dyDescent="0.25">
      <c r="A3349" s="3">
        <v>3344</v>
      </c>
      <c r="B3349" s="3" t="str">
        <f>"00680177"</f>
        <v>00680177</v>
      </c>
    </row>
    <row r="3350" spans="1:2" x14ac:dyDescent="0.25">
      <c r="A3350" s="3">
        <v>3345</v>
      </c>
      <c r="B3350" s="3" t="str">
        <f>"00680178"</f>
        <v>00680178</v>
      </c>
    </row>
    <row r="3351" spans="1:2" x14ac:dyDescent="0.25">
      <c r="A3351" s="3">
        <v>3346</v>
      </c>
      <c r="B3351" s="3" t="str">
        <f>"00680216"</f>
        <v>00680216</v>
      </c>
    </row>
    <row r="3352" spans="1:2" x14ac:dyDescent="0.25">
      <c r="A3352" s="3">
        <v>3347</v>
      </c>
      <c r="B3352" s="3" t="str">
        <f>"00680248"</f>
        <v>00680248</v>
      </c>
    </row>
    <row r="3353" spans="1:2" x14ac:dyDescent="0.25">
      <c r="A3353" s="3">
        <v>3348</v>
      </c>
      <c r="B3353" s="3" t="str">
        <f>"00680272"</f>
        <v>00680272</v>
      </c>
    </row>
    <row r="3354" spans="1:2" x14ac:dyDescent="0.25">
      <c r="A3354" s="3">
        <v>3349</v>
      </c>
      <c r="B3354" s="3" t="str">
        <f>"00680297"</f>
        <v>00680297</v>
      </c>
    </row>
    <row r="3355" spans="1:2" x14ac:dyDescent="0.25">
      <c r="A3355" s="3">
        <v>3350</v>
      </c>
      <c r="B3355" s="3" t="str">
        <f>"00680349"</f>
        <v>00680349</v>
      </c>
    </row>
    <row r="3356" spans="1:2" x14ac:dyDescent="0.25">
      <c r="A3356" s="3">
        <v>3351</v>
      </c>
      <c r="B3356" s="3" t="str">
        <f>"00680383"</f>
        <v>00680383</v>
      </c>
    </row>
    <row r="3357" spans="1:2" x14ac:dyDescent="0.25">
      <c r="A3357" s="3">
        <v>3352</v>
      </c>
      <c r="B3357" s="3" t="str">
        <f>"00680388"</f>
        <v>00680388</v>
      </c>
    </row>
    <row r="3358" spans="1:2" x14ac:dyDescent="0.25">
      <c r="A3358" s="3">
        <v>3353</v>
      </c>
      <c r="B3358" s="3" t="str">
        <f>"00680398"</f>
        <v>00680398</v>
      </c>
    </row>
    <row r="3359" spans="1:2" x14ac:dyDescent="0.25">
      <c r="A3359" s="3">
        <v>3354</v>
      </c>
      <c r="B3359" s="3" t="str">
        <f>"00680401"</f>
        <v>00680401</v>
      </c>
    </row>
    <row r="3360" spans="1:2" x14ac:dyDescent="0.25">
      <c r="A3360" s="3">
        <v>3355</v>
      </c>
      <c r="B3360" s="3" t="str">
        <f>"00680466"</f>
        <v>00680466</v>
      </c>
    </row>
    <row r="3361" spans="1:2" x14ac:dyDescent="0.25">
      <c r="A3361" s="3">
        <v>3356</v>
      </c>
      <c r="B3361" s="3" t="str">
        <f>"00680475"</f>
        <v>00680475</v>
      </c>
    </row>
    <row r="3362" spans="1:2" x14ac:dyDescent="0.25">
      <c r="A3362" s="3">
        <v>3357</v>
      </c>
      <c r="B3362" s="3" t="str">
        <f>"00680492"</f>
        <v>00680492</v>
      </c>
    </row>
    <row r="3363" spans="1:2" x14ac:dyDescent="0.25">
      <c r="A3363" s="3">
        <v>3358</v>
      </c>
      <c r="B3363" s="3" t="str">
        <f>"00680493"</f>
        <v>00680493</v>
      </c>
    </row>
    <row r="3364" spans="1:2" x14ac:dyDescent="0.25">
      <c r="A3364" s="3">
        <v>3359</v>
      </c>
      <c r="B3364" s="3" t="str">
        <f>"00680500"</f>
        <v>00680500</v>
      </c>
    </row>
    <row r="3365" spans="1:2" x14ac:dyDescent="0.25">
      <c r="A3365" s="3">
        <v>3360</v>
      </c>
      <c r="B3365" s="3" t="str">
        <f>"00680514"</f>
        <v>00680514</v>
      </c>
    </row>
    <row r="3366" spans="1:2" x14ac:dyDescent="0.25">
      <c r="A3366" s="3">
        <v>3361</v>
      </c>
      <c r="B3366" s="3" t="str">
        <f>"00680516"</f>
        <v>00680516</v>
      </c>
    </row>
    <row r="3367" spans="1:2" x14ac:dyDescent="0.25">
      <c r="A3367" s="3">
        <v>3362</v>
      </c>
      <c r="B3367" s="3" t="str">
        <f>"00680532"</f>
        <v>00680532</v>
      </c>
    </row>
    <row r="3368" spans="1:2" x14ac:dyDescent="0.25">
      <c r="A3368" s="3">
        <v>3363</v>
      </c>
      <c r="B3368" s="3" t="str">
        <f>"00680564"</f>
        <v>00680564</v>
      </c>
    </row>
    <row r="3369" spans="1:2" x14ac:dyDescent="0.25">
      <c r="A3369" s="3">
        <v>3364</v>
      </c>
      <c r="B3369" s="3" t="str">
        <f>"00680601"</f>
        <v>00680601</v>
      </c>
    </row>
    <row r="3370" spans="1:2" x14ac:dyDescent="0.25">
      <c r="A3370" s="3">
        <v>3365</v>
      </c>
      <c r="B3370" s="3" t="str">
        <f>"00680614"</f>
        <v>00680614</v>
      </c>
    </row>
    <row r="3371" spans="1:2" x14ac:dyDescent="0.25">
      <c r="A3371" s="3">
        <v>3366</v>
      </c>
      <c r="B3371" s="3" t="str">
        <f>"00680615"</f>
        <v>00680615</v>
      </c>
    </row>
    <row r="3372" spans="1:2" x14ac:dyDescent="0.25">
      <c r="A3372" s="3">
        <v>3367</v>
      </c>
      <c r="B3372" s="3" t="str">
        <f>"00680632"</f>
        <v>00680632</v>
      </c>
    </row>
    <row r="3373" spans="1:2" x14ac:dyDescent="0.25">
      <c r="A3373" s="3">
        <v>3368</v>
      </c>
      <c r="B3373" s="3" t="str">
        <f>"00680646"</f>
        <v>00680646</v>
      </c>
    </row>
    <row r="3374" spans="1:2" x14ac:dyDescent="0.25">
      <c r="A3374" s="3">
        <v>3369</v>
      </c>
      <c r="B3374" s="3" t="str">
        <f>"00680680"</f>
        <v>00680680</v>
      </c>
    </row>
    <row r="3375" spans="1:2" x14ac:dyDescent="0.25">
      <c r="A3375" s="3">
        <v>3370</v>
      </c>
      <c r="B3375" s="3" t="str">
        <f>"00680689"</f>
        <v>00680689</v>
      </c>
    </row>
    <row r="3376" spans="1:2" x14ac:dyDescent="0.25">
      <c r="A3376" s="3">
        <v>3371</v>
      </c>
      <c r="B3376" s="3" t="str">
        <f>"00680695"</f>
        <v>00680695</v>
      </c>
    </row>
    <row r="3377" spans="1:2" x14ac:dyDescent="0.25">
      <c r="A3377" s="3">
        <v>3372</v>
      </c>
      <c r="B3377" s="3" t="str">
        <f>"00680761"</f>
        <v>00680761</v>
      </c>
    </row>
    <row r="3378" spans="1:2" x14ac:dyDescent="0.25">
      <c r="A3378" s="3">
        <v>3373</v>
      </c>
      <c r="B3378" s="3" t="str">
        <f>"00680777"</f>
        <v>00680777</v>
      </c>
    </row>
    <row r="3379" spans="1:2" x14ac:dyDescent="0.25">
      <c r="A3379" s="3">
        <v>3374</v>
      </c>
      <c r="B3379" s="3" t="str">
        <f>"00680788"</f>
        <v>00680788</v>
      </c>
    </row>
    <row r="3380" spans="1:2" x14ac:dyDescent="0.25">
      <c r="A3380" s="3">
        <v>3375</v>
      </c>
      <c r="B3380" s="3" t="str">
        <f>"00680827"</f>
        <v>00680827</v>
      </c>
    </row>
    <row r="3381" spans="1:2" x14ac:dyDescent="0.25">
      <c r="A3381" s="3">
        <v>3376</v>
      </c>
      <c r="B3381" s="3" t="str">
        <f>"00680842"</f>
        <v>00680842</v>
      </c>
    </row>
    <row r="3382" spans="1:2" x14ac:dyDescent="0.25">
      <c r="A3382" s="3">
        <v>3377</v>
      </c>
      <c r="B3382" s="3" t="str">
        <f>"00680856"</f>
        <v>00680856</v>
      </c>
    </row>
    <row r="3383" spans="1:2" x14ac:dyDescent="0.25">
      <c r="A3383" s="3">
        <v>3378</v>
      </c>
      <c r="B3383" s="3" t="str">
        <f>"00680925"</f>
        <v>00680925</v>
      </c>
    </row>
    <row r="3384" spans="1:2" x14ac:dyDescent="0.25">
      <c r="A3384" s="3">
        <v>3379</v>
      </c>
      <c r="B3384" s="3" t="str">
        <f>"00680949"</f>
        <v>00680949</v>
      </c>
    </row>
    <row r="3385" spans="1:2" x14ac:dyDescent="0.25">
      <c r="A3385" s="3">
        <v>3380</v>
      </c>
      <c r="B3385" s="3" t="str">
        <f>"00680996"</f>
        <v>00680996</v>
      </c>
    </row>
    <row r="3386" spans="1:2" x14ac:dyDescent="0.25">
      <c r="A3386" s="3">
        <v>3381</v>
      </c>
      <c r="B3386" s="3" t="str">
        <f>"00681001"</f>
        <v>00681001</v>
      </c>
    </row>
    <row r="3387" spans="1:2" x14ac:dyDescent="0.25">
      <c r="A3387" s="3">
        <v>3382</v>
      </c>
      <c r="B3387" s="3" t="str">
        <f>"00681011"</f>
        <v>00681011</v>
      </c>
    </row>
    <row r="3388" spans="1:2" x14ac:dyDescent="0.25">
      <c r="A3388" s="3">
        <v>3383</v>
      </c>
      <c r="B3388" s="3" t="str">
        <f>"00681026"</f>
        <v>00681026</v>
      </c>
    </row>
    <row r="3389" spans="1:2" x14ac:dyDescent="0.25">
      <c r="A3389" s="3">
        <v>3384</v>
      </c>
      <c r="B3389" s="3" t="str">
        <f>"00681113"</f>
        <v>00681113</v>
      </c>
    </row>
    <row r="3390" spans="1:2" x14ac:dyDescent="0.25">
      <c r="A3390" s="3">
        <v>3385</v>
      </c>
      <c r="B3390" s="3" t="str">
        <f>"00681145"</f>
        <v>00681145</v>
      </c>
    </row>
    <row r="3391" spans="1:2" x14ac:dyDescent="0.25">
      <c r="A3391" s="3">
        <v>3386</v>
      </c>
      <c r="B3391" s="3" t="str">
        <f>"00681155"</f>
        <v>00681155</v>
      </c>
    </row>
    <row r="3392" spans="1:2" x14ac:dyDescent="0.25">
      <c r="A3392" s="3">
        <v>3387</v>
      </c>
      <c r="B3392" s="3" t="str">
        <f>"00681162"</f>
        <v>00681162</v>
      </c>
    </row>
    <row r="3393" spans="1:2" x14ac:dyDescent="0.25">
      <c r="A3393" s="3">
        <v>3388</v>
      </c>
      <c r="B3393" s="3" t="str">
        <f>"00681209"</f>
        <v>00681209</v>
      </c>
    </row>
    <row r="3394" spans="1:2" x14ac:dyDescent="0.25">
      <c r="A3394" s="3">
        <v>3389</v>
      </c>
      <c r="B3394" s="3" t="str">
        <f>"00681233"</f>
        <v>00681233</v>
      </c>
    </row>
    <row r="3395" spans="1:2" x14ac:dyDescent="0.25">
      <c r="A3395" s="3">
        <v>3390</v>
      </c>
      <c r="B3395" s="3" t="str">
        <f>"00681279"</f>
        <v>00681279</v>
      </c>
    </row>
    <row r="3396" spans="1:2" x14ac:dyDescent="0.25">
      <c r="A3396" s="3">
        <v>3391</v>
      </c>
      <c r="B3396" s="3" t="str">
        <f>"00681291"</f>
        <v>00681291</v>
      </c>
    </row>
    <row r="3397" spans="1:2" x14ac:dyDescent="0.25">
      <c r="A3397" s="3">
        <v>3392</v>
      </c>
      <c r="B3397" s="3" t="str">
        <f>"00681339"</f>
        <v>00681339</v>
      </c>
    </row>
    <row r="3398" spans="1:2" x14ac:dyDescent="0.25">
      <c r="A3398" s="3">
        <v>3393</v>
      </c>
      <c r="B3398" s="3" t="str">
        <f>"00681343"</f>
        <v>00681343</v>
      </c>
    </row>
    <row r="3399" spans="1:2" x14ac:dyDescent="0.25">
      <c r="A3399" s="3">
        <v>3394</v>
      </c>
      <c r="B3399" s="3" t="str">
        <f>"00681403"</f>
        <v>00681403</v>
      </c>
    </row>
    <row r="3400" spans="1:2" x14ac:dyDescent="0.25">
      <c r="A3400" s="3">
        <v>3395</v>
      </c>
      <c r="B3400" s="3" t="str">
        <f>"00681515"</f>
        <v>00681515</v>
      </c>
    </row>
    <row r="3401" spans="1:2" x14ac:dyDescent="0.25">
      <c r="A3401" s="3">
        <v>3396</v>
      </c>
      <c r="B3401" s="3" t="str">
        <f>"00681516"</f>
        <v>00681516</v>
      </c>
    </row>
    <row r="3402" spans="1:2" x14ac:dyDescent="0.25">
      <c r="A3402" s="3">
        <v>3397</v>
      </c>
      <c r="B3402" s="3" t="str">
        <f>"00681544"</f>
        <v>00681544</v>
      </c>
    </row>
    <row r="3403" spans="1:2" x14ac:dyDescent="0.25">
      <c r="A3403" s="3">
        <v>3398</v>
      </c>
      <c r="B3403" s="3" t="str">
        <f>"00681548"</f>
        <v>00681548</v>
      </c>
    </row>
    <row r="3404" spans="1:2" x14ac:dyDescent="0.25">
      <c r="A3404" s="3">
        <v>3399</v>
      </c>
      <c r="B3404" s="3" t="str">
        <f>"00681607"</f>
        <v>00681607</v>
      </c>
    </row>
    <row r="3405" spans="1:2" x14ac:dyDescent="0.25">
      <c r="A3405" s="3">
        <v>3400</v>
      </c>
      <c r="B3405" s="3" t="str">
        <f>"00681633"</f>
        <v>00681633</v>
      </c>
    </row>
    <row r="3406" spans="1:2" x14ac:dyDescent="0.25">
      <c r="A3406" s="3">
        <v>3401</v>
      </c>
      <c r="B3406" s="3" t="str">
        <f>"00681700"</f>
        <v>00681700</v>
      </c>
    </row>
    <row r="3407" spans="1:2" x14ac:dyDescent="0.25">
      <c r="A3407" s="3">
        <v>3402</v>
      </c>
      <c r="B3407" s="3" t="str">
        <f>"00681727"</f>
        <v>00681727</v>
      </c>
    </row>
    <row r="3408" spans="1:2" x14ac:dyDescent="0.25">
      <c r="A3408" s="3">
        <v>3403</v>
      </c>
      <c r="B3408" s="3" t="str">
        <f>"00681744"</f>
        <v>00681744</v>
      </c>
    </row>
    <row r="3409" spans="1:2" x14ac:dyDescent="0.25">
      <c r="A3409" s="3">
        <v>3404</v>
      </c>
      <c r="B3409" s="3" t="str">
        <f>"00681758"</f>
        <v>00681758</v>
      </c>
    </row>
    <row r="3410" spans="1:2" x14ac:dyDescent="0.25">
      <c r="A3410" s="3">
        <v>3405</v>
      </c>
      <c r="B3410" s="3" t="str">
        <f>"00681766"</f>
        <v>00681766</v>
      </c>
    </row>
    <row r="3411" spans="1:2" x14ac:dyDescent="0.25">
      <c r="A3411" s="3">
        <v>3406</v>
      </c>
      <c r="B3411" s="3" t="str">
        <f>"00681780"</f>
        <v>00681780</v>
      </c>
    </row>
    <row r="3412" spans="1:2" x14ac:dyDescent="0.25">
      <c r="A3412" s="3">
        <v>3407</v>
      </c>
      <c r="B3412" s="3" t="str">
        <f>"00681781"</f>
        <v>00681781</v>
      </c>
    </row>
    <row r="3413" spans="1:2" x14ac:dyDescent="0.25">
      <c r="A3413" s="3">
        <v>3408</v>
      </c>
      <c r="B3413" s="3" t="str">
        <f>"00681843"</f>
        <v>00681843</v>
      </c>
    </row>
    <row r="3414" spans="1:2" x14ac:dyDescent="0.25">
      <c r="A3414" s="3">
        <v>3409</v>
      </c>
      <c r="B3414" s="3" t="str">
        <f>"00681847"</f>
        <v>00681847</v>
      </c>
    </row>
    <row r="3415" spans="1:2" x14ac:dyDescent="0.25">
      <c r="A3415" s="3">
        <v>3410</v>
      </c>
      <c r="B3415" s="3" t="str">
        <f>"00681859"</f>
        <v>00681859</v>
      </c>
    </row>
    <row r="3416" spans="1:2" x14ac:dyDescent="0.25">
      <c r="A3416" s="3">
        <v>3411</v>
      </c>
      <c r="B3416" s="3" t="str">
        <f>"00681864"</f>
        <v>00681864</v>
      </c>
    </row>
    <row r="3417" spans="1:2" x14ac:dyDescent="0.25">
      <c r="A3417" s="3">
        <v>3412</v>
      </c>
      <c r="B3417" s="3" t="str">
        <f>"00681883"</f>
        <v>00681883</v>
      </c>
    </row>
    <row r="3418" spans="1:2" x14ac:dyDescent="0.25">
      <c r="A3418" s="3">
        <v>3413</v>
      </c>
      <c r="B3418" s="3" t="str">
        <f>"00681900"</f>
        <v>00681900</v>
      </c>
    </row>
    <row r="3419" spans="1:2" x14ac:dyDescent="0.25">
      <c r="A3419" s="3">
        <v>3414</v>
      </c>
      <c r="B3419" s="3" t="str">
        <f>"00681901"</f>
        <v>00681901</v>
      </c>
    </row>
    <row r="3420" spans="1:2" x14ac:dyDescent="0.25">
      <c r="A3420" s="3">
        <v>3415</v>
      </c>
      <c r="B3420" s="3" t="str">
        <f>"00681925"</f>
        <v>00681925</v>
      </c>
    </row>
    <row r="3421" spans="1:2" x14ac:dyDescent="0.25">
      <c r="A3421" s="3">
        <v>3416</v>
      </c>
      <c r="B3421" s="3" t="str">
        <f>"00681929"</f>
        <v>00681929</v>
      </c>
    </row>
    <row r="3422" spans="1:2" x14ac:dyDescent="0.25">
      <c r="A3422" s="3">
        <v>3417</v>
      </c>
      <c r="B3422" s="3" t="str">
        <f>"00681934"</f>
        <v>00681934</v>
      </c>
    </row>
    <row r="3423" spans="1:2" x14ac:dyDescent="0.25">
      <c r="A3423" s="3">
        <v>3418</v>
      </c>
      <c r="B3423" s="3" t="str">
        <f>"00681970"</f>
        <v>00681970</v>
      </c>
    </row>
    <row r="3424" spans="1:2" x14ac:dyDescent="0.25">
      <c r="A3424" s="3">
        <v>3419</v>
      </c>
      <c r="B3424" s="3" t="str">
        <f>"00681997"</f>
        <v>00681997</v>
      </c>
    </row>
    <row r="3425" spans="1:2" x14ac:dyDescent="0.25">
      <c r="A3425" s="3">
        <v>3420</v>
      </c>
      <c r="B3425" s="3" t="str">
        <f>"00682003"</f>
        <v>00682003</v>
      </c>
    </row>
    <row r="3426" spans="1:2" x14ac:dyDescent="0.25">
      <c r="A3426" s="3">
        <v>3421</v>
      </c>
      <c r="B3426" s="3" t="str">
        <f>"00682007"</f>
        <v>00682007</v>
      </c>
    </row>
    <row r="3427" spans="1:2" x14ac:dyDescent="0.25">
      <c r="A3427" s="3">
        <v>3422</v>
      </c>
      <c r="B3427" s="3" t="str">
        <f>"00682034"</f>
        <v>00682034</v>
      </c>
    </row>
    <row r="3428" spans="1:2" x14ac:dyDescent="0.25">
      <c r="A3428" s="3">
        <v>3423</v>
      </c>
      <c r="B3428" s="3" t="str">
        <f>"00682039"</f>
        <v>00682039</v>
      </c>
    </row>
    <row r="3429" spans="1:2" x14ac:dyDescent="0.25">
      <c r="A3429" s="3">
        <v>3424</v>
      </c>
      <c r="B3429" s="3" t="str">
        <f>"00682069"</f>
        <v>00682069</v>
      </c>
    </row>
    <row r="3430" spans="1:2" x14ac:dyDescent="0.25">
      <c r="A3430" s="3">
        <v>3425</v>
      </c>
      <c r="B3430" s="3" t="str">
        <f>"00682074"</f>
        <v>00682074</v>
      </c>
    </row>
    <row r="3431" spans="1:2" x14ac:dyDescent="0.25">
      <c r="A3431" s="3">
        <v>3426</v>
      </c>
      <c r="B3431" s="3" t="str">
        <f>"00682109"</f>
        <v>00682109</v>
      </c>
    </row>
    <row r="3432" spans="1:2" x14ac:dyDescent="0.25">
      <c r="A3432" s="3">
        <v>3427</v>
      </c>
      <c r="B3432" s="3" t="str">
        <f>"00682123"</f>
        <v>00682123</v>
      </c>
    </row>
    <row r="3433" spans="1:2" x14ac:dyDescent="0.25">
      <c r="A3433" s="3">
        <v>3428</v>
      </c>
      <c r="B3433" s="3" t="str">
        <f>"00682137"</f>
        <v>00682137</v>
      </c>
    </row>
    <row r="3434" spans="1:2" x14ac:dyDescent="0.25">
      <c r="A3434" s="3">
        <v>3429</v>
      </c>
      <c r="B3434" s="3" t="str">
        <f>"00682161"</f>
        <v>00682161</v>
      </c>
    </row>
    <row r="3435" spans="1:2" x14ac:dyDescent="0.25">
      <c r="A3435" s="3">
        <v>3430</v>
      </c>
      <c r="B3435" s="3" t="str">
        <f>"00682208"</f>
        <v>00682208</v>
      </c>
    </row>
    <row r="3436" spans="1:2" x14ac:dyDescent="0.25">
      <c r="A3436" s="3">
        <v>3431</v>
      </c>
      <c r="B3436" s="3" t="str">
        <f>"00682213"</f>
        <v>00682213</v>
      </c>
    </row>
    <row r="3437" spans="1:2" x14ac:dyDescent="0.25">
      <c r="A3437" s="3">
        <v>3432</v>
      </c>
      <c r="B3437" s="3" t="str">
        <f>"00682215"</f>
        <v>00682215</v>
      </c>
    </row>
    <row r="3438" spans="1:2" x14ac:dyDescent="0.25">
      <c r="A3438" s="3">
        <v>3433</v>
      </c>
      <c r="B3438" s="3" t="str">
        <f>"00682219"</f>
        <v>00682219</v>
      </c>
    </row>
    <row r="3439" spans="1:2" x14ac:dyDescent="0.25">
      <c r="A3439" s="3">
        <v>3434</v>
      </c>
      <c r="B3439" s="3" t="str">
        <f>"00682242"</f>
        <v>00682242</v>
      </c>
    </row>
    <row r="3440" spans="1:2" x14ac:dyDescent="0.25">
      <c r="A3440" s="3">
        <v>3435</v>
      </c>
      <c r="B3440" s="3" t="str">
        <f>"00682244"</f>
        <v>00682244</v>
      </c>
    </row>
    <row r="3441" spans="1:2" x14ac:dyDescent="0.25">
      <c r="A3441" s="3">
        <v>3436</v>
      </c>
      <c r="B3441" s="3" t="str">
        <f>"00682279"</f>
        <v>00682279</v>
      </c>
    </row>
    <row r="3442" spans="1:2" x14ac:dyDescent="0.25">
      <c r="A3442" s="3">
        <v>3437</v>
      </c>
      <c r="B3442" s="3" t="str">
        <f>"00682326"</f>
        <v>00682326</v>
      </c>
    </row>
    <row r="3443" spans="1:2" x14ac:dyDescent="0.25">
      <c r="A3443" s="3">
        <v>3438</v>
      </c>
      <c r="B3443" s="3" t="str">
        <f>"00682334"</f>
        <v>00682334</v>
      </c>
    </row>
    <row r="3444" spans="1:2" x14ac:dyDescent="0.25">
      <c r="A3444" s="3">
        <v>3439</v>
      </c>
      <c r="B3444" s="3" t="str">
        <f>"00682374"</f>
        <v>00682374</v>
      </c>
    </row>
    <row r="3445" spans="1:2" x14ac:dyDescent="0.25">
      <c r="A3445" s="3">
        <v>3440</v>
      </c>
      <c r="B3445" s="3" t="str">
        <f>"00682395"</f>
        <v>00682395</v>
      </c>
    </row>
    <row r="3446" spans="1:2" x14ac:dyDescent="0.25">
      <c r="A3446" s="3">
        <v>3441</v>
      </c>
      <c r="B3446" s="3" t="str">
        <f>"00682399"</f>
        <v>00682399</v>
      </c>
    </row>
    <row r="3447" spans="1:2" x14ac:dyDescent="0.25">
      <c r="A3447" s="3">
        <v>3442</v>
      </c>
      <c r="B3447" s="3" t="str">
        <f>"00682417"</f>
        <v>00682417</v>
      </c>
    </row>
    <row r="3448" spans="1:2" x14ac:dyDescent="0.25">
      <c r="A3448" s="3">
        <v>3443</v>
      </c>
      <c r="B3448" s="3" t="str">
        <f>"00682465"</f>
        <v>00682465</v>
      </c>
    </row>
    <row r="3449" spans="1:2" x14ac:dyDescent="0.25">
      <c r="A3449" s="3">
        <v>3444</v>
      </c>
      <c r="B3449" s="3" t="str">
        <f>"00682490"</f>
        <v>00682490</v>
      </c>
    </row>
    <row r="3450" spans="1:2" x14ac:dyDescent="0.25">
      <c r="A3450" s="3">
        <v>3445</v>
      </c>
      <c r="B3450" s="3" t="str">
        <f>"00682505"</f>
        <v>00682505</v>
      </c>
    </row>
    <row r="3451" spans="1:2" x14ac:dyDescent="0.25">
      <c r="A3451" s="3">
        <v>3446</v>
      </c>
      <c r="B3451" s="3" t="str">
        <f>"00682520"</f>
        <v>00682520</v>
      </c>
    </row>
    <row r="3452" spans="1:2" x14ac:dyDescent="0.25">
      <c r="A3452" s="3">
        <v>3447</v>
      </c>
      <c r="B3452" s="3" t="str">
        <f>"00682532"</f>
        <v>00682532</v>
      </c>
    </row>
    <row r="3453" spans="1:2" x14ac:dyDescent="0.25">
      <c r="A3453" s="3">
        <v>3448</v>
      </c>
      <c r="B3453" s="3" t="str">
        <f>"00682548"</f>
        <v>00682548</v>
      </c>
    </row>
    <row r="3454" spans="1:2" x14ac:dyDescent="0.25">
      <c r="A3454" s="3">
        <v>3449</v>
      </c>
      <c r="B3454" s="3" t="str">
        <f>"00682589"</f>
        <v>00682589</v>
      </c>
    </row>
    <row r="3455" spans="1:2" x14ac:dyDescent="0.25">
      <c r="A3455" s="3">
        <v>3450</v>
      </c>
      <c r="B3455" s="3" t="str">
        <f>"00682613"</f>
        <v>00682613</v>
      </c>
    </row>
    <row r="3456" spans="1:2" x14ac:dyDescent="0.25">
      <c r="A3456" s="3">
        <v>3451</v>
      </c>
      <c r="B3456" s="3" t="str">
        <f>"00682638"</f>
        <v>00682638</v>
      </c>
    </row>
    <row r="3457" spans="1:2" x14ac:dyDescent="0.25">
      <c r="A3457" s="3">
        <v>3452</v>
      </c>
      <c r="B3457" s="3" t="str">
        <f>"00682648"</f>
        <v>00682648</v>
      </c>
    </row>
    <row r="3458" spans="1:2" x14ac:dyDescent="0.25">
      <c r="A3458" s="3">
        <v>3453</v>
      </c>
      <c r="B3458" s="3" t="str">
        <f>"00682683"</f>
        <v>00682683</v>
      </c>
    </row>
    <row r="3459" spans="1:2" x14ac:dyDescent="0.25">
      <c r="A3459" s="3">
        <v>3454</v>
      </c>
      <c r="B3459" s="3" t="str">
        <f>"00682754"</f>
        <v>00682754</v>
      </c>
    </row>
    <row r="3460" spans="1:2" x14ac:dyDescent="0.25">
      <c r="A3460" s="3">
        <v>3455</v>
      </c>
      <c r="B3460" s="3" t="str">
        <f>"00682856"</f>
        <v>00682856</v>
      </c>
    </row>
    <row r="3461" spans="1:2" x14ac:dyDescent="0.25">
      <c r="A3461" s="3">
        <v>3456</v>
      </c>
      <c r="B3461" s="3" t="str">
        <f>"00682861"</f>
        <v>00682861</v>
      </c>
    </row>
    <row r="3462" spans="1:2" x14ac:dyDescent="0.25">
      <c r="A3462" s="3">
        <v>3457</v>
      </c>
      <c r="B3462" s="3" t="str">
        <f>"00682871"</f>
        <v>00682871</v>
      </c>
    </row>
    <row r="3463" spans="1:2" x14ac:dyDescent="0.25">
      <c r="A3463" s="3">
        <v>3458</v>
      </c>
      <c r="B3463" s="3" t="str">
        <f>"00682883"</f>
        <v>00682883</v>
      </c>
    </row>
    <row r="3464" spans="1:2" x14ac:dyDescent="0.25">
      <c r="A3464" s="3">
        <v>3459</v>
      </c>
      <c r="B3464" s="3" t="str">
        <f>"00682908"</f>
        <v>00682908</v>
      </c>
    </row>
    <row r="3465" spans="1:2" x14ac:dyDescent="0.25">
      <c r="A3465" s="3">
        <v>3460</v>
      </c>
      <c r="B3465" s="3" t="str">
        <f>"00682914"</f>
        <v>00682914</v>
      </c>
    </row>
    <row r="3466" spans="1:2" x14ac:dyDescent="0.25">
      <c r="A3466" s="3">
        <v>3461</v>
      </c>
      <c r="B3466" s="3" t="str">
        <f>"00682962"</f>
        <v>00682962</v>
      </c>
    </row>
    <row r="3467" spans="1:2" x14ac:dyDescent="0.25">
      <c r="A3467" s="3">
        <v>3462</v>
      </c>
      <c r="B3467" s="3" t="str">
        <f>"00682969"</f>
        <v>00682969</v>
      </c>
    </row>
    <row r="3468" spans="1:2" x14ac:dyDescent="0.25">
      <c r="A3468" s="3">
        <v>3463</v>
      </c>
      <c r="B3468" s="21" t="s">
        <v>17</v>
      </c>
    </row>
    <row r="3469" spans="1:2" x14ac:dyDescent="0.25">
      <c r="A3469" s="3">
        <v>3464</v>
      </c>
      <c r="B3469" s="3" t="str">
        <f>"00683004"</f>
        <v>00683004</v>
      </c>
    </row>
    <row r="3470" spans="1:2" x14ac:dyDescent="0.25">
      <c r="A3470" s="3">
        <v>3465</v>
      </c>
      <c r="B3470" s="3" t="str">
        <f>"00683042"</f>
        <v>00683042</v>
      </c>
    </row>
    <row r="3471" spans="1:2" x14ac:dyDescent="0.25">
      <c r="A3471" s="3">
        <v>3466</v>
      </c>
      <c r="B3471" s="3" t="str">
        <f>"00683048"</f>
        <v>00683048</v>
      </c>
    </row>
    <row r="3472" spans="1:2" x14ac:dyDescent="0.25">
      <c r="A3472" s="3">
        <v>3467</v>
      </c>
      <c r="B3472" s="3" t="str">
        <f>"00683088"</f>
        <v>00683088</v>
      </c>
    </row>
    <row r="3473" spans="1:2" x14ac:dyDescent="0.25">
      <c r="A3473" s="3">
        <v>3468</v>
      </c>
      <c r="B3473" s="3" t="str">
        <f>"00683110"</f>
        <v>00683110</v>
      </c>
    </row>
    <row r="3474" spans="1:2" x14ac:dyDescent="0.25">
      <c r="A3474" s="3">
        <v>3469</v>
      </c>
      <c r="B3474" s="3" t="str">
        <f>"00683129"</f>
        <v>00683129</v>
      </c>
    </row>
    <row r="3475" spans="1:2" x14ac:dyDescent="0.25">
      <c r="A3475" s="3">
        <v>3470</v>
      </c>
      <c r="B3475" s="3" t="str">
        <f>"00683165"</f>
        <v>00683165</v>
      </c>
    </row>
    <row r="3476" spans="1:2" x14ac:dyDescent="0.25">
      <c r="A3476" s="3">
        <v>3471</v>
      </c>
      <c r="B3476" s="3" t="str">
        <f>"00683182"</f>
        <v>00683182</v>
      </c>
    </row>
    <row r="3477" spans="1:2" x14ac:dyDescent="0.25">
      <c r="A3477" s="3">
        <v>3472</v>
      </c>
      <c r="B3477" s="3" t="str">
        <f>"00683255"</f>
        <v>00683255</v>
      </c>
    </row>
    <row r="3478" spans="1:2" x14ac:dyDescent="0.25">
      <c r="A3478" s="3">
        <v>3473</v>
      </c>
      <c r="B3478" s="3" t="str">
        <f>"00683258"</f>
        <v>00683258</v>
      </c>
    </row>
    <row r="3479" spans="1:2" x14ac:dyDescent="0.25">
      <c r="A3479" s="3">
        <v>3474</v>
      </c>
      <c r="B3479" s="3" t="str">
        <f>"00683291"</f>
        <v>00683291</v>
      </c>
    </row>
    <row r="3480" spans="1:2" x14ac:dyDescent="0.25">
      <c r="A3480" s="3">
        <v>3475</v>
      </c>
      <c r="B3480" s="3" t="str">
        <f>"00683377"</f>
        <v>00683377</v>
      </c>
    </row>
    <row r="3481" spans="1:2" x14ac:dyDescent="0.25">
      <c r="A3481" s="3">
        <v>3476</v>
      </c>
      <c r="B3481" s="3" t="str">
        <f>"00683404"</f>
        <v>00683404</v>
      </c>
    </row>
    <row r="3482" spans="1:2" x14ac:dyDescent="0.25">
      <c r="A3482" s="3">
        <v>3477</v>
      </c>
      <c r="B3482" s="3" t="str">
        <f>"00683439"</f>
        <v>00683439</v>
      </c>
    </row>
    <row r="3483" spans="1:2" x14ac:dyDescent="0.25">
      <c r="A3483" s="3">
        <v>3478</v>
      </c>
      <c r="B3483" s="3" t="str">
        <f>"00683453"</f>
        <v>00683453</v>
      </c>
    </row>
    <row r="3484" spans="1:2" x14ac:dyDescent="0.25">
      <c r="A3484" s="3">
        <v>3479</v>
      </c>
      <c r="B3484" s="3" t="str">
        <f>"00683468"</f>
        <v>00683468</v>
      </c>
    </row>
    <row r="3485" spans="1:2" x14ac:dyDescent="0.25">
      <c r="A3485" s="3">
        <v>3480</v>
      </c>
      <c r="B3485" s="3" t="str">
        <f>"00683482"</f>
        <v>00683482</v>
      </c>
    </row>
    <row r="3486" spans="1:2" x14ac:dyDescent="0.25">
      <c r="A3486" s="3">
        <v>3481</v>
      </c>
      <c r="B3486" s="3" t="str">
        <f>"00683490"</f>
        <v>00683490</v>
      </c>
    </row>
    <row r="3487" spans="1:2" x14ac:dyDescent="0.25">
      <c r="A3487" s="3">
        <v>3482</v>
      </c>
      <c r="B3487" s="3" t="str">
        <f>"00683517"</f>
        <v>00683517</v>
      </c>
    </row>
    <row r="3488" spans="1:2" x14ac:dyDescent="0.25">
      <c r="A3488" s="3">
        <v>3483</v>
      </c>
      <c r="B3488" s="3" t="str">
        <f>"00683530"</f>
        <v>00683530</v>
      </c>
    </row>
    <row r="3489" spans="1:2" x14ac:dyDescent="0.25">
      <c r="A3489" s="3">
        <v>3484</v>
      </c>
      <c r="B3489" s="3" t="str">
        <f>"00683564"</f>
        <v>00683564</v>
      </c>
    </row>
    <row r="3490" spans="1:2" x14ac:dyDescent="0.25">
      <c r="A3490" s="3">
        <v>3485</v>
      </c>
      <c r="B3490" s="3" t="str">
        <f>"00683631"</f>
        <v>00683631</v>
      </c>
    </row>
    <row r="3491" spans="1:2" x14ac:dyDescent="0.25">
      <c r="A3491" s="3">
        <v>3486</v>
      </c>
      <c r="B3491" s="3" t="str">
        <f>"00683637"</f>
        <v>00683637</v>
      </c>
    </row>
    <row r="3492" spans="1:2" x14ac:dyDescent="0.25">
      <c r="A3492" s="3">
        <v>3487</v>
      </c>
      <c r="B3492" s="3" t="str">
        <f>"00683669"</f>
        <v>00683669</v>
      </c>
    </row>
    <row r="3493" spans="1:2" x14ac:dyDescent="0.25">
      <c r="A3493" s="3">
        <v>3488</v>
      </c>
      <c r="B3493" s="3" t="str">
        <f>"00683684"</f>
        <v>00683684</v>
      </c>
    </row>
    <row r="3494" spans="1:2" x14ac:dyDescent="0.25">
      <c r="A3494" s="3">
        <v>3489</v>
      </c>
      <c r="B3494" s="3" t="str">
        <f>"00683762"</f>
        <v>00683762</v>
      </c>
    </row>
    <row r="3495" spans="1:2" x14ac:dyDescent="0.25">
      <c r="A3495" s="3">
        <v>3490</v>
      </c>
      <c r="B3495" s="3" t="str">
        <f>"00683890"</f>
        <v>00683890</v>
      </c>
    </row>
    <row r="3496" spans="1:2" x14ac:dyDescent="0.25">
      <c r="A3496" s="3">
        <v>3491</v>
      </c>
      <c r="B3496" s="3" t="str">
        <f>"00683931"</f>
        <v>00683931</v>
      </c>
    </row>
    <row r="3497" spans="1:2" x14ac:dyDescent="0.25">
      <c r="A3497" s="3">
        <v>3492</v>
      </c>
      <c r="B3497" s="3" t="str">
        <f>"00683948"</f>
        <v>00683948</v>
      </c>
    </row>
    <row r="3498" spans="1:2" x14ac:dyDescent="0.25">
      <c r="A3498" s="3">
        <v>3493</v>
      </c>
      <c r="B3498" s="3" t="str">
        <f>"00684029"</f>
        <v>00684029</v>
      </c>
    </row>
    <row r="3499" spans="1:2" x14ac:dyDescent="0.25">
      <c r="A3499" s="3">
        <v>3494</v>
      </c>
      <c r="B3499" s="3" t="str">
        <f>"00684115"</f>
        <v>00684115</v>
      </c>
    </row>
    <row r="3500" spans="1:2" x14ac:dyDescent="0.25">
      <c r="A3500" s="3">
        <v>3495</v>
      </c>
      <c r="B3500" s="3" t="str">
        <f>"00684146"</f>
        <v>00684146</v>
      </c>
    </row>
    <row r="3501" spans="1:2" x14ac:dyDescent="0.25">
      <c r="A3501" s="3">
        <v>3496</v>
      </c>
      <c r="B3501" s="3" t="str">
        <f>"00684531"</f>
        <v>00684531</v>
      </c>
    </row>
    <row r="3502" spans="1:2" x14ac:dyDescent="0.25">
      <c r="A3502" s="3">
        <v>3497</v>
      </c>
      <c r="B3502" s="3" t="str">
        <f>"00684634"</f>
        <v>00684634</v>
      </c>
    </row>
    <row r="3503" spans="1:2" x14ac:dyDescent="0.25">
      <c r="A3503" s="3">
        <v>3498</v>
      </c>
      <c r="B3503" s="3" t="str">
        <f>"00684809"</f>
        <v>00684809</v>
      </c>
    </row>
    <row r="3504" spans="1:2" x14ac:dyDescent="0.25">
      <c r="A3504" s="3">
        <v>3499</v>
      </c>
      <c r="B3504" s="3" t="str">
        <f>"00684935"</f>
        <v>00684935</v>
      </c>
    </row>
    <row r="3505" spans="1:2" x14ac:dyDescent="0.25">
      <c r="A3505" s="3">
        <v>3500</v>
      </c>
      <c r="B3505" s="3" t="str">
        <f>"00684980"</f>
        <v>00684980</v>
      </c>
    </row>
    <row r="3506" spans="1:2" x14ac:dyDescent="0.25">
      <c r="A3506" s="3">
        <v>3501</v>
      </c>
      <c r="B3506" s="3" t="str">
        <f>"00685153"</f>
        <v>00685153</v>
      </c>
    </row>
    <row r="3507" spans="1:2" x14ac:dyDescent="0.25">
      <c r="A3507" s="3">
        <v>3502</v>
      </c>
      <c r="B3507" s="3" t="str">
        <f>"00685433"</f>
        <v>00685433</v>
      </c>
    </row>
    <row r="3508" spans="1:2" x14ac:dyDescent="0.25">
      <c r="A3508" s="3">
        <v>3503</v>
      </c>
      <c r="B3508" s="3" t="str">
        <f>"00685622"</f>
        <v>00685622</v>
      </c>
    </row>
    <row r="3509" spans="1:2" x14ac:dyDescent="0.25">
      <c r="A3509" s="3">
        <v>3504</v>
      </c>
      <c r="B3509" s="3" t="str">
        <f>"00685695"</f>
        <v>00685695</v>
      </c>
    </row>
    <row r="3510" spans="1:2" x14ac:dyDescent="0.25">
      <c r="A3510" s="3">
        <v>3505</v>
      </c>
      <c r="B3510" s="3" t="str">
        <f>"00685904"</f>
        <v>00685904</v>
      </c>
    </row>
    <row r="3511" spans="1:2" x14ac:dyDescent="0.25">
      <c r="A3511" s="3">
        <v>3506</v>
      </c>
      <c r="B3511" s="3" t="str">
        <f>"00686958"</f>
        <v>00686958</v>
      </c>
    </row>
    <row r="3512" spans="1:2" x14ac:dyDescent="0.25">
      <c r="A3512" s="3">
        <v>3507</v>
      </c>
      <c r="B3512" s="3" t="str">
        <f>"00687122"</f>
        <v>00687122</v>
      </c>
    </row>
    <row r="3513" spans="1:2" x14ac:dyDescent="0.25">
      <c r="A3513" s="3">
        <v>3508</v>
      </c>
      <c r="B3513" s="3" t="str">
        <f>"00687291"</f>
        <v>00687291</v>
      </c>
    </row>
    <row r="3514" spans="1:2" x14ac:dyDescent="0.25">
      <c r="A3514" s="3">
        <v>3509</v>
      </c>
      <c r="B3514" s="3" t="str">
        <f>"00687850"</f>
        <v>00687850</v>
      </c>
    </row>
    <row r="3515" spans="1:2" x14ac:dyDescent="0.25">
      <c r="A3515" s="3">
        <v>3510</v>
      </c>
      <c r="B3515" s="3" t="str">
        <f>"00688042"</f>
        <v>00688042</v>
      </c>
    </row>
    <row r="3516" spans="1:2" x14ac:dyDescent="0.25">
      <c r="A3516" s="3">
        <v>3511</v>
      </c>
      <c r="B3516" s="3" t="str">
        <f>"00688130"</f>
        <v>00688130</v>
      </c>
    </row>
    <row r="3517" spans="1:2" x14ac:dyDescent="0.25">
      <c r="A3517" s="3">
        <v>3512</v>
      </c>
      <c r="B3517" s="3" t="str">
        <f>"00688474"</f>
        <v>00688474</v>
      </c>
    </row>
    <row r="3518" spans="1:2" x14ac:dyDescent="0.25">
      <c r="A3518" s="3">
        <v>3513</v>
      </c>
      <c r="B3518" s="3" t="str">
        <f>"00688578"</f>
        <v>00688578</v>
      </c>
    </row>
    <row r="3519" spans="1:2" x14ac:dyDescent="0.25">
      <c r="A3519" s="3">
        <v>3514</v>
      </c>
      <c r="B3519" s="3" t="str">
        <f>"00688618"</f>
        <v>00688618</v>
      </c>
    </row>
    <row r="3520" spans="1:2" x14ac:dyDescent="0.25">
      <c r="A3520" s="3">
        <v>3515</v>
      </c>
      <c r="B3520" s="3" t="str">
        <f>"00688690"</f>
        <v>00688690</v>
      </c>
    </row>
    <row r="3521" spans="1:2" x14ac:dyDescent="0.25">
      <c r="A3521" s="3">
        <v>3516</v>
      </c>
      <c r="B3521" s="3" t="str">
        <f>"00688791"</f>
        <v>00688791</v>
      </c>
    </row>
    <row r="3522" spans="1:2" x14ac:dyDescent="0.25">
      <c r="A3522" s="3">
        <v>3517</v>
      </c>
      <c r="B3522" s="3" t="str">
        <f>"00688855"</f>
        <v>00688855</v>
      </c>
    </row>
    <row r="3523" spans="1:2" x14ac:dyDescent="0.25">
      <c r="A3523" s="3">
        <v>3518</v>
      </c>
      <c r="B3523" s="3" t="str">
        <f>"00689120"</f>
        <v>00689120</v>
      </c>
    </row>
    <row r="3524" spans="1:2" x14ac:dyDescent="0.25">
      <c r="A3524" s="3">
        <v>3519</v>
      </c>
      <c r="B3524" s="3" t="str">
        <f>"00689273"</f>
        <v>00689273</v>
      </c>
    </row>
    <row r="3525" spans="1:2" x14ac:dyDescent="0.25">
      <c r="A3525" s="3">
        <v>3520</v>
      </c>
      <c r="B3525" s="3" t="str">
        <f>"00689425"</f>
        <v>00689425</v>
      </c>
    </row>
    <row r="3526" spans="1:2" x14ac:dyDescent="0.25">
      <c r="A3526" s="3">
        <v>3521</v>
      </c>
      <c r="B3526" s="3" t="str">
        <f>"00689474"</f>
        <v>00689474</v>
      </c>
    </row>
    <row r="3527" spans="1:2" x14ac:dyDescent="0.25">
      <c r="A3527" s="3">
        <v>3522</v>
      </c>
      <c r="B3527" s="3" t="str">
        <f>"00689583"</f>
        <v>00689583</v>
      </c>
    </row>
    <row r="3528" spans="1:2" x14ac:dyDescent="0.25">
      <c r="A3528" s="3">
        <v>3523</v>
      </c>
      <c r="B3528" s="3" t="str">
        <f>"00689739"</f>
        <v>00689739</v>
      </c>
    </row>
    <row r="3529" spans="1:2" x14ac:dyDescent="0.25">
      <c r="A3529" s="3">
        <v>3524</v>
      </c>
      <c r="B3529" s="3" t="str">
        <f>"00689785"</f>
        <v>00689785</v>
      </c>
    </row>
    <row r="3530" spans="1:2" x14ac:dyDescent="0.25">
      <c r="A3530" s="3">
        <v>3525</v>
      </c>
      <c r="B3530" s="3" t="str">
        <f>"00690727"</f>
        <v>00690727</v>
      </c>
    </row>
    <row r="3531" spans="1:2" x14ac:dyDescent="0.25">
      <c r="A3531" s="3">
        <v>3526</v>
      </c>
      <c r="B3531" s="3" t="str">
        <f>"00690738"</f>
        <v>00690738</v>
      </c>
    </row>
    <row r="3532" spans="1:2" x14ac:dyDescent="0.25">
      <c r="A3532" s="3">
        <v>3527</v>
      </c>
      <c r="B3532" s="3" t="str">
        <f>"00690740"</f>
        <v>00690740</v>
      </c>
    </row>
    <row r="3533" spans="1:2" x14ac:dyDescent="0.25">
      <c r="A3533" s="3">
        <v>3528</v>
      </c>
      <c r="B3533" s="3" t="str">
        <f>"00690873"</f>
        <v>00690873</v>
      </c>
    </row>
    <row r="3534" spans="1:2" x14ac:dyDescent="0.25">
      <c r="A3534" s="3">
        <v>3529</v>
      </c>
      <c r="B3534" s="3" t="str">
        <f>"00690951"</f>
        <v>00690951</v>
      </c>
    </row>
    <row r="3535" spans="1:2" x14ac:dyDescent="0.25">
      <c r="A3535" s="3">
        <v>3530</v>
      </c>
      <c r="B3535" s="3" t="str">
        <f>"00691057"</f>
        <v>00691057</v>
      </c>
    </row>
    <row r="3536" spans="1:2" x14ac:dyDescent="0.25">
      <c r="A3536" s="3">
        <v>3531</v>
      </c>
      <c r="B3536" s="3" t="str">
        <f>"00691490"</f>
        <v>00691490</v>
      </c>
    </row>
    <row r="3537" spans="1:2" x14ac:dyDescent="0.25">
      <c r="A3537" s="3">
        <v>3532</v>
      </c>
      <c r="B3537" s="3" t="str">
        <f>"00691497"</f>
        <v>00691497</v>
      </c>
    </row>
    <row r="3538" spans="1:2" x14ac:dyDescent="0.25">
      <c r="A3538" s="3">
        <v>3533</v>
      </c>
      <c r="B3538" s="3" t="str">
        <f>"20160707596"</f>
        <v>20160707596</v>
      </c>
    </row>
    <row r="3539" spans="1:2" x14ac:dyDescent="0.25">
      <c r="A3539" s="3">
        <v>3534</v>
      </c>
      <c r="B3539" s="3" t="str">
        <f>"20160707609"</f>
        <v>20160707609</v>
      </c>
    </row>
    <row r="3540" spans="1:2" x14ac:dyDescent="0.25">
      <c r="A3540" s="3">
        <v>3535</v>
      </c>
      <c r="B3540" s="3" t="str">
        <f>"200712000210"</f>
        <v>200712000210</v>
      </c>
    </row>
    <row r="3541" spans="1:2" x14ac:dyDescent="0.25">
      <c r="A3541" s="3">
        <v>3536</v>
      </c>
      <c r="B3541" s="3" t="str">
        <f>"200712000536"</f>
        <v>200712000536</v>
      </c>
    </row>
    <row r="3542" spans="1:2" x14ac:dyDescent="0.25">
      <c r="A3542" s="3">
        <v>3537</v>
      </c>
      <c r="B3542" s="3" t="str">
        <f>"200712000688"</f>
        <v>200712000688</v>
      </c>
    </row>
    <row r="3543" spans="1:2" x14ac:dyDescent="0.25">
      <c r="A3543" s="3">
        <v>3538</v>
      </c>
      <c r="B3543" s="3" t="str">
        <f>"200712000789"</f>
        <v>200712000789</v>
      </c>
    </row>
    <row r="3544" spans="1:2" x14ac:dyDescent="0.25">
      <c r="A3544" s="3">
        <v>3539</v>
      </c>
      <c r="B3544" s="3" t="str">
        <f>"200712000987"</f>
        <v>200712000987</v>
      </c>
    </row>
    <row r="3545" spans="1:2" x14ac:dyDescent="0.25">
      <c r="A3545" s="3">
        <v>3540</v>
      </c>
      <c r="B3545" s="3" t="str">
        <f>"200712000995"</f>
        <v>200712000995</v>
      </c>
    </row>
    <row r="3546" spans="1:2" x14ac:dyDescent="0.25">
      <c r="A3546" s="3">
        <v>3541</v>
      </c>
      <c r="B3546" s="3" t="str">
        <f>"200712001178"</f>
        <v>200712001178</v>
      </c>
    </row>
    <row r="3547" spans="1:2" x14ac:dyDescent="0.25">
      <c r="A3547" s="3">
        <v>3542</v>
      </c>
      <c r="B3547" s="3" t="str">
        <f>"200712001461"</f>
        <v>200712001461</v>
      </c>
    </row>
    <row r="3548" spans="1:2" x14ac:dyDescent="0.25">
      <c r="A3548" s="3">
        <v>3543</v>
      </c>
      <c r="B3548" s="3" t="str">
        <f>"200712001706"</f>
        <v>200712001706</v>
      </c>
    </row>
    <row r="3549" spans="1:2" x14ac:dyDescent="0.25">
      <c r="A3549" s="3">
        <v>3544</v>
      </c>
      <c r="B3549" s="3" t="str">
        <f>"200712001834"</f>
        <v>200712001834</v>
      </c>
    </row>
    <row r="3550" spans="1:2" x14ac:dyDescent="0.25">
      <c r="A3550" s="3">
        <v>3545</v>
      </c>
      <c r="B3550" s="3" t="str">
        <f>"200712001973"</f>
        <v>200712001973</v>
      </c>
    </row>
    <row r="3551" spans="1:2" x14ac:dyDescent="0.25">
      <c r="A3551" s="3">
        <v>3546</v>
      </c>
      <c r="B3551" s="3" t="str">
        <f>"200712002116"</f>
        <v>200712002116</v>
      </c>
    </row>
    <row r="3552" spans="1:2" x14ac:dyDescent="0.25">
      <c r="A3552" s="3">
        <v>3547</v>
      </c>
      <c r="B3552" s="3" t="str">
        <f>"200712002214"</f>
        <v>200712002214</v>
      </c>
    </row>
    <row r="3553" spans="1:2" x14ac:dyDescent="0.25">
      <c r="A3553" s="3">
        <v>3548</v>
      </c>
      <c r="B3553" s="3" t="str">
        <f>"200712002751"</f>
        <v>200712002751</v>
      </c>
    </row>
    <row r="3554" spans="1:2" x14ac:dyDescent="0.25">
      <c r="A3554" s="3">
        <v>3549</v>
      </c>
      <c r="B3554" s="3" t="str">
        <f>"200712002761"</f>
        <v>200712002761</v>
      </c>
    </row>
    <row r="3555" spans="1:2" x14ac:dyDescent="0.25">
      <c r="A3555" s="3">
        <v>3550</v>
      </c>
      <c r="B3555" s="3" t="str">
        <f>"200712002853"</f>
        <v>200712002853</v>
      </c>
    </row>
    <row r="3556" spans="1:2" x14ac:dyDescent="0.25">
      <c r="A3556" s="3">
        <v>3551</v>
      </c>
      <c r="B3556" s="3" t="str">
        <f>"200712003054"</f>
        <v>200712003054</v>
      </c>
    </row>
    <row r="3557" spans="1:2" x14ac:dyDescent="0.25">
      <c r="A3557" s="3">
        <v>3552</v>
      </c>
      <c r="B3557" s="3" t="str">
        <f>"200712003271"</f>
        <v>200712003271</v>
      </c>
    </row>
    <row r="3558" spans="1:2" x14ac:dyDescent="0.25">
      <c r="A3558" s="3">
        <v>3553</v>
      </c>
      <c r="B3558" s="3" t="str">
        <f>"200712003350"</f>
        <v>200712003350</v>
      </c>
    </row>
    <row r="3559" spans="1:2" x14ac:dyDescent="0.25">
      <c r="A3559" s="3">
        <v>3554</v>
      </c>
      <c r="B3559" s="3" t="str">
        <f>"200712003657"</f>
        <v>200712003657</v>
      </c>
    </row>
    <row r="3560" spans="1:2" x14ac:dyDescent="0.25">
      <c r="A3560" s="3">
        <v>3555</v>
      </c>
      <c r="B3560" s="3" t="str">
        <f>"200712004322"</f>
        <v>200712004322</v>
      </c>
    </row>
    <row r="3561" spans="1:2" x14ac:dyDescent="0.25">
      <c r="A3561" s="3">
        <v>3556</v>
      </c>
      <c r="B3561" s="3" t="str">
        <f>"200712004503"</f>
        <v>200712004503</v>
      </c>
    </row>
    <row r="3562" spans="1:2" x14ac:dyDescent="0.25">
      <c r="A3562" s="3">
        <v>3557</v>
      </c>
      <c r="B3562" s="3" t="str">
        <f>"200712004701"</f>
        <v>200712004701</v>
      </c>
    </row>
    <row r="3563" spans="1:2" x14ac:dyDescent="0.25">
      <c r="A3563" s="3">
        <v>3558</v>
      </c>
      <c r="B3563" s="3" t="str">
        <f>"200712005747"</f>
        <v>200712005747</v>
      </c>
    </row>
    <row r="3564" spans="1:2" x14ac:dyDescent="0.25">
      <c r="A3564" s="3">
        <v>3559</v>
      </c>
      <c r="B3564" s="3" t="str">
        <f>"200712005856"</f>
        <v>200712005856</v>
      </c>
    </row>
    <row r="3565" spans="1:2" x14ac:dyDescent="0.25">
      <c r="A3565" s="3">
        <v>3560</v>
      </c>
      <c r="B3565" s="3" t="str">
        <f>"200712005879"</f>
        <v>200712005879</v>
      </c>
    </row>
    <row r="3566" spans="1:2" x14ac:dyDescent="0.25">
      <c r="A3566" s="3">
        <v>3561</v>
      </c>
      <c r="B3566" s="3" t="str">
        <f>"200712006136"</f>
        <v>200712006136</v>
      </c>
    </row>
    <row r="3567" spans="1:2" x14ac:dyDescent="0.25">
      <c r="A3567" s="3">
        <v>3562</v>
      </c>
      <c r="B3567" s="3" t="str">
        <f>"200801000077"</f>
        <v>200801000077</v>
      </c>
    </row>
    <row r="3568" spans="1:2" x14ac:dyDescent="0.25">
      <c r="A3568" s="3">
        <v>3563</v>
      </c>
      <c r="B3568" s="3" t="str">
        <f>"200801000341"</f>
        <v>200801000341</v>
      </c>
    </row>
    <row r="3569" spans="1:2" x14ac:dyDescent="0.25">
      <c r="A3569" s="3">
        <v>3564</v>
      </c>
      <c r="B3569" s="3" t="str">
        <f>"200801000736"</f>
        <v>200801000736</v>
      </c>
    </row>
    <row r="3570" spans="1:2" x14ac:dyDescent="0.25">
      <c r="A3570" s="3">
        <v>3565</v>
      </c>
      <c r="B3570" s="3" t="str">
        <f>"200801001313"</f>
        <v>200801001313</v>
      </c>
    </row>
    <row r="3571" spans="1:2" x14ac:dyDescent="0.25">
      <c r="A3571" s="3">
        <v>3566</v>
      </c>
      <c r="B3571" s="3" t="str">
        <f>"200801001398"</f>
        <v>200801001398</v>
      </c>
    </row>
    <row r="3572" spans="1:2" x14ac:dyDescent="0.25">
      <c r="A3572" s="3">
        <v>3567</v>
      </c>
      <c r="B3572" s="3" t="str">
        <f>"200801002203"</f>
        <v>200801002203</v>
      </c>
    </row>
    <row r="3573" spans="1:2" x14ac:dyDescent="0.25">
      <c r="A3573" s="3">
        <v>3568</v>
      </c>
      <c r="B3573" s="3" t="str">
        <f>"200801002709"</f>
        <v>200801002709</v>
      </c>
    </row>
    <row r="3574" spans="1:2" x14ac:dyDescent="0.25">
      <c r="A3574" s="3">
        <v>3569</v>
      </c>
      <c r="B3574" s="3" t="str">
        <f>"200801002986"</f>
        <v>200801002986</v>
      </c>
    </row>
    <row r="3575" spans="1:2" x14ac:dyDescent="0.25">
      <c r="A3575" s="3">
        <v>3570</v>
      </c>
      <c r="B3575" s="3" t="str">
        <f>"200801004360"</f>
        <v>200801004360</v>
      </c>
    </row>
    <row r="3576" spans="1:2" x14ac:dyDescent="0.25">
      <c r="A3576" s="3">
        <v>3571</v>
      </c>
      <c r="B3576" s="3" t="str">
        <f>"200801006385"</f>
        <v>200801006385</v>
      </c>
    </row>
    <row r="3577" spans="1:2" x14ac:dyDescent="0.25">
      <c r="A3577" s="3">
        <v>3572</v>
      </c>
      <c r="B3577" s="3" t="str">
        <f>"200801006804"</f>
        <v>200801006804</v>
      </c>
    </row>
    <row r="3578" spans="1:2" x14ac:dyDescent="0.25">
      <c r="A3578" s="3">
        <v>3573</v>
      </c>
      <c r="B3578" s="3" t="str">
        <f>"200801007300"</f>
        <v>200801007300</v>
      </c>
    </row>
    <row r="3579" spans="1:2" x14ac:dyDescent="0.25">
      <c r="A3579" s="3">
        <v>3574</v>
      </c>
      <c r="B3579" s="3" t="str">
        <f>"200801007363"</f>
        <v>200801007363</v>
      </c>
    </row>
    <row r="3580" spans="1:2" x14ac:dyDescent="0.25">
      <c r="A3580" s="3">
        <v>3575</v>
      </c>
      <c r="B3580" s="3" t="str">
        <f>"200801007400"</f>
        <v>200801007400</v>
      </c>
    </row>
    <row r="3581" spans="1:2" x14ac:dyDescent="0.25">
      <c r="A3581" s="3">
        <v>3576</v>
      </c>
      <c r="B3581" s="3" t="str">
        <f>"200801007538"</f>
        <v>200801007538</v>
      </c>
    </row>
    <row r="3582" spans="1:2" x14ac:dyDescent="0.25">
      <c r="A3582" s="3">
        <v>3577</v>
      </c>
      <c r="B3582" s="3" t="str">
        <f>"200801008634"</f>
        <v>200801008634</v>
      </c>
    </row>
    <row r="3583" spans="1:2" x14ac:dyDescent="0.25">
      <c r="A3583" s="3">
        <v>3578</v>
      </c>
      <c r="B3583" s="3" t="str">
        <f>"200801009548"</f>
        <v>200801009548</v>
      </c>
    </row>
    <row r="3584" spans="1:2" x14ac:dyDescent="0.25">
      <c r="A3584" s="3">
        <v>3579</v>
      </c>
      <c r="B3584" s="3" t="str">
        <f>"200801009729"</f>
        <v>200801009729</v>
      </c>
    </row>
    <row r="3585" spans="1:2" x14ac:dyDescent="0.25">
      <c r="A3585" s="3">
        <v>3580</v>
      </c>
      <c r="B3585" s="3" t="str">
        <f>"200801010569"</f>
        <v>200801010569</v>
      </c>
    </row>
    <row r="3586" spans="1:2" x14ac:dyDescent="0.25">
      <c r="A3586" s="3">
        <v>3581</v>
      </c>
      <c r="B3586" s="3" t="str">
        <f>"200801010762"</f>
        <v>200801010762</v>
      </c>
    </row>
    <row r="3587" spans="1:2" x14ac:dyDescent="0.25">
      <c r="A3587" s="3">
        <v>3582</v>
      </c>
      <c r="B3587" s="3" t="str">
        <f>"200801011197"</f>
        <v>200801011197</v>
      </c>
    </row>
    <row r="3588" spans="1:2" x14ac:dyDescent="0.25">
      <c r="A3588" s="3">
        <v>3583</v>
      </c>
      <c r="B3588" s="3" t="str">
        <f>"200801011294"</f>
        <v>200801011294</v>
      </c>
    </row>
    <row r="3589" spans="1:2" x14ac:dyDescent="0.25">
      <c r="A3589" s="3">
        <v>3584</v>
      </c>
      <c r="B3589" s="3" t="str">
        <f>"200801011678"</f>
        <v>200801011678</v>
      </c>
    </row>
    <row r="3590" spans="1:2" x14ac:dyDescent="0.25">
      <c r="A3590" s="3">
        <v>3585</v>
      </c>
      <c r="B3590" s="3" t="str">
        <f>"200801011708"</f>
        <v>200801011708</v>
      </c>
    </row>
    <row r="3591" spans="1:2" x14ac:dyDescent="0.25">
      <c r="A3591" s="3">
        <v>3586</v>
      </c>
      <c r="B3591" s="3" t="str">
        <f>"200802000477"</f>
        <v>200802000477</v>
      </c>
    </row>
    <row r="3592" spans="1:2" x14ac:dyDescent="0.25">
      <c r="A3592" s="3">
        <v>3587</v>
      </c>
      <c r="B3592" s="3" t="str">
        <f>"200802001256"</f>
        <v>200802001256</v>
      </c>
    </row>
    <row r="3593" spans="1:2" x14ac:dyDescent="0.25">
      <c r="A3593" s="3">
        <v>3588</v>
      </c>
      <c r="B3593" s="3" t="str">
        <f>"200802001406"</f>
        <v>200802001406</v>
      </c>
    </row>
    <row r="3594" spans="1:2" x14ac:dyDescent="0.25">
      <c r="A3594" s="3">
        <v>3589</v>
      </c>
      <c r="B3594" s="3" t="str">
        <f>"200802001447"</f>
        <v>200802001447</v>
      </c>
    </row>
    <row r="3595" spans="1:2" x14ac:dyDescent="0.25">
      <c r="A3595" s="3">
        <v>3590</v>
      </c>
      <c r="B3595" s="3" t="str">
        <f>"200802001783"</f>
        <v>200802001783</v>
      </c>
    </row>
    <row r="3596" spans="1:2" x14ac:dyDescent="0.25">
      <c r="A3596" s="3">
        <v>3591</v>
      </c>
      <c r="B3596" s="3" t="str">
        <f>"200802002009"</f>
        <v>200802002009</v>
      </c>
    </row>
    <row r="3597" spans="1:2" x14ac:dyDescent="0.25">
      <c r="A3597" s="3">
        <v>3592</v>
      </c>
      <c r="B3597" s="3" t="str">
        <f>"200802002295"</f>
        <v>200802002295</v>
      </c>
    </row>
    <row r="3598" spans="1:2" x14ac:dyDescent="0.25">
      <c r="A3598" s="3">
        <v>3593</v>
      </c>
      <c r="B3598" s="3" t="str">
        <f>"200802002413"</f>
        <v>200802002413</v>
      </c>
    </row>
    <row r="3599" spans="1:2" x14ac:dyDescent="0.25">
      <c r="A3599" s="3">
        <v>3594</v>
      </c>
      <c r="B3599" s="3" t="str">
        <f>"200802002423"</f>
        <v>200802002423</v>
      </c>
    </row>
    <row r="3600" spans="1:2" x14ac:dyDescent="0.25">
      <c r="A3600" s="3">
        <v>3595</v>
      </c>
      <c r="B3600" s="3" t="str">
        <f>"200802002684"</f>
        <v>200802002684</v>
      </c>
    </row>
    <row r="3601" spans="1:2" x14ac:dyDescent="0.25">
      <c r="A3601" s="3">
        <v>3596</v>
      </c>
      <c r="B3601" s="3" t="str">
        <f>"200802002910"</f>
        <v>200802002910</v>
      </c>
    </row>
    <row r="3602" spans="1:2" x14ac:dyDescent="0.25">
      <c r="A3602" s="3">
        <v>3597</v>
      </c>
      <c r="B3602" s="3" t="str">
        <f>"200802003060"</f>
        <v>200802003060</v>
      </c>
    </row>
    <row r="3603" spans="1:2" x14ac:dyDescent="0.25">
      <c r="A3603" s="3">
        <v>3598</v>
      </c>
      <c r="B3603" s="3" t="str">
        <f>"200802003142"</f>
        <v>200802003142</v>
      </c>
    </row>
    <row r="3604" spans="1:2" x14ac:dyDescent="0.25">
      <c r="A3604" s="3">
        <v>3599</v>
      </c>
      <c r="B3604" s="3" t="str">
        <f>"200802003324"</f>
        <v>200802003324</v>
      </c>
    </row>
    <row r="3605" spans="1:2" x14ac:dyDescent="0.25">
      <c r="A3605" s="3">
        <v>3600</v>
      </c>
      <c r="B3605" s="3" t="str">
        <f>"200802003770"</f>
        <v>200802003770</v>
      </c>
    </row>
    <row r="3606" spans="1:2" x14ac:dyDescent="0.25">
      <c r="A3606" s="3">
        <v>3601</v>
      </c>
      <c r="B3606" s="3" t="str">
        <f>"200802004212"</f>
        <v>200802004212</v>
      </c>
    </row>
    <row r="3607" spans="1:2" x14ac:dyDescent="0.25">
      <c r="A3607" s="3">
        <v>3602</v>
      </c>
      <c r="B3607" s="3" t="str">
        <f>"200802004304"</f>
        <v>200802004304</v>
      </c>
    </row>
    <row r="3608" spans="1:2" x14ac:dyDescent="0.25">
      <c r="A3608" s="3">
        <v>3603</v>
      </c>
      <c r="B3608" s="3" t="str">
        <f>"200802004371"</f>
        <v>200802004371</v>
      </c>
    </row>
    <row r="3609" spans="1:2" x14ac:dyDescent="0.25">
      <c r="A3609" s="3">
        <v>3604</v>
      </c>
      <c r="B3609" s="3" t="str">
        <f>"200802004419"</f>
        <v>200802004419</v>
      </c>
    </row>
    <row r="3610" spans="1:2" x14ac:dyDescent="0.25">
      <c r="A3610" s="3">
        <v>3605</v>
      </c>
      <c r="B3610" s="3" t="str">
        <f>"200802004442"</f>
        <v>200802004442</v>
      </c>
    </row>
    <row r="3611" spans="1:2" x14ac:dyDescent="0.25">
      <c r="A3611" s="3">
        <v>3606</v>
      </c>
      <c r="B3611" s="3" t="str">
        <f>"200802005099"</f>
        <v>200802005099</v>
      </c>
    </row>
    <row r="3612" spans="1:2" x14ac:dyDescent="0.25">
      <c r="A3612" s="3">
        <v>3607</v>
      </c>
      <c r="B3612" s="3" t="str">
        <f>"200802005373"</f>
        <v>200802005373</v>
      </c>
    </row>
    <row r="3613" spans="1:2" x14ac:dyDescent="0.25">
      <c r="A3613" s="3">
        <v>3608</v>
      </c>
      <c r="B3613" s="3" t="str">
        <f>"200802007618"</f>
        <v>200802007618</v>
      </c>
    </row>
    <row r="3614" spans="1:2" x14ac:dyDescent="0.25">
      <c r="A3614" s="3">
        <v>3609</v>
      </c>
      <c r="B3614" s="3" t="str">
        <f>"200802007721"</f>
        <v>200802007721</v>
      </c>
    </row>
    <row r="3615" spans="1:2" x14ac:dyDescent="0.25">
      <c r="A3615" s="3">
        <v>3610</v>
      </c>
      <c r="B3615" s="3" t="str">
        <f>"200802008114"</f>
        <v>200802008114</v>
      </c>
    </row>
    <row r="3616" spans="1:2" x14ac:dyDescent="0.25">
      <c r="A3616" s="3">
        <v>3611</v>
      </c>
      <c r="B3616" s="3" t="str">
        <f>"200802008608"</f>
        <v>200802008608</v>
      </c>
    </row>
    <row r="3617" spans="1:2" x14ac:dyDescent="0.25">
      <c r="A3617" s="3">
        <v>3612</v>
      </c>
      <c r="B3617" s="3" t="str">
        <f>"200802009174"</f>
        <v>200802009174</v>
      </c>
    </row>
    <row r="3618" spans="1:2" x14ac:dyDescent="0.25">
      <c r="A3618" s="3">
        <v>3613</v>
      </c>
      <c r="B3618" s="3" t="str">
        <f>"200802009750"</f>
        <v>200802009750</v>
      </c>
    </row>
    <row r="3619" spans="1:2" x14ac:dyDescent="0.25">
      <c r="A3619" s="3">
        <v>3614</v>
      </c>
      <c r="B3619" s="3" t="str">
        <f>"200802010111"</f>
        <v>200802010111</v>
      </c>
    </row>
    <row r="3620" spans="1:2" x14ac:dyDescent="0.25">
      <c r="A3620" s="3">
        <v>3615</v>
      </c>
      <c r="B3620" s="3" t="str">
        <f>"200802010363"</f>
        <v>200802010363</v>
      </c>
    </row>
    <row r="3621" spans="1:2" x14ac:dyDescent="0.25">
      <c r="A3621" s="3">
        <v>3616</v>
      </c>
      <c r="B3621" s="3" t="str">
        <f>"200802011036"</f>
        <v>200802011036</v>
      </c>
    </row>
    <row r="3622" spans="1:2" x14ac:dyDescent="0.25">
      <c r="A3622" s="3">
        <v>3617</v>
      </c>
      <c r="B3622" s="3" t="str">
        <f>"200802011153"</f>
        <v>200802011153</v>
      </c>
    </row>
    <row r="3623" spans="1:2" x14ac:dyDescent="0.25">
      <c r="A3623" s="3">
        <v>3618</v>
      </c>
      <c r="B3623" s="3" t="str">
        <f>"200802011662"</f>
        <v>200802011662</v>
      </c>
    </row>
    <row r="3624" spans="1:2" x14ac:dyDescent="0.25">
      <c r="A3624" s="3">
        <v>3619</v>
      </c>
      <c r="B3624" s="3" t="str">
        <f>"200802011787"</f>
        <v>200802011787</v>
      </c>
    </row>
    <row r="3625" spans="1:2" x14ac:dyDescent="0.25">
      <c r="A3625" s="3">
        <v>3620</v>
      </c>
      <c r="B3625" s="3" t="str">
        <f>"200802011955"</f>
        <v>200802011955</v>
      </c>
    </row>
    <row r="3626" spans="1:2" x14ac:dyDescent="0.25">
      <c r="A3626" s="3">
        <v>3621</v>
      </c>
      <c r="B3626" s="3" t="str">
        <f>"200802011984"</f>
        <v>200802011984</v>
      </c>
    </row>
    <row r="3627" spans="1:2" x14ac:dyDescent="0.25">
      <c r="A3627" s="3">
        <v>3622</v>
      </c>
      <c r="B3627" s="3" t="str">
        <f>"200802012110"</f>
        <v>200802012110</v>
      </c>
    </row>
    <row r="3628" spans="1:2" x14ac:dyDescent="0.25">
      <c r="A3628" s="3">
        <v>3623</v>
      </c>
      <c r="B3628" s="3" t="str">
        <f>"200803000305"</f>
        <v>200803000305</v>
      </c>
    </row>
    <row r="3629" spans="1:2" x14ac:dyDescent="0.25">
      <c r="A3629" s="3">
        <v>3624</v>
      </c>
      <c r="B3629" s="3" t="str">
        <f>"200803000335"</f>
        <v>200803000335</v>
      </c>
    </row>
    <row r="3630" spans="1:2" x14ac:dyDescent="0.25">
      <c r="A3630" s="3">
        <v>3625</v>
      </c>
      <c r="B3630" s="3" t="str">
        <f>"200803000679"</f>
        <v>200803000679</v>
      </c>
    </row>
    <row r="3631" spans="1:2" x14ac:dyDescent="0.25">
      <c r="A3631" s="3">
        <v>3626</v>
      </c>
      <c r="B3631" s="3" t="str">
        <f>"200803001081"</f>
        <v>200803001081</v>
      </c>
    </row>
    <row r="3632" spans="1:2" x14ac:dyDescent="0.25">
      <c r="A3632" s="3">
        <v>3627</v>
      </c>
      <c r="B3632" s="3" t="str">
        <f>"200804000295"</f>
        <v>200804000295</v>
      </c>
    </row>
    <row r="3633" spans="1:2" x14ac:dyDescent="0.25">
      <c r="A3633" s="3">
        <v>3628</v>
      </c>
      <c r="B3633" s="3" t="str">
        <f>"200804000329"</f>
        <v>200804000329</v>
      </c>
    </row>
    <row r="3634" spans="1:2" x14ac:dyDescent="0.25">
      <c r="A3634" s="3">
        <v>3629</v>
      </c>
      <c r="B3634" s="3" t="str">
        <f>"200804000806"</f>
        <v>200804000806</v>
      </c>
    </row>
    <row r="3635" spans="1:2" x14ac:dyDescent="0.25">
      <c r="A3635" s="3">
        <v>3630</v>
      </c>
      <c r="B3635" s="3" t="str">
        <f>"200804000937"</f>
        <v>200804000937</v>
      </c>
    </row>
    <row r="3636" spans="1:2" x14ac:dyDescent="0.25">
      <c r="A3636" s="3">
        <v>3631</v>
      </c>
      <c r="B3636" s="3" t="str">
        <f>"200805000150"</f>
        <v>200805000150</v>
      </c>
    </row>
    <row r="3637" spans="1:2" x14ac:dyDescent="0.25">
      <c r="A3637" s="3">
        <v>3632</v>
      </c>
      <c r="B3637" s="3" t="str">
        <f>"200805000152"</f>
        <v>200805000152</v>
      </c>
    </row>
    <row r="3638" spans="1:2" x14ac:dyDescent="0.25">
      <c r="A3638" s="3">
        <v>3633</v>
      </c>
      <c r="B3638" s="3" t="str">
        <f>"200805000284"</f>
        <v>200805000284</v>
      </c>
    </row>
    <row r="3639" spans="1:2" x14ac:dyDescent="0.25">
      <c r="A3639" s="3">
        <v>3634</v>
      </c>
      <c r="B3639" s="3" t="str">
        <f>"200805000734"</f>
        <v>200805000734</v>
      </c>
    </row>
    <row r="3640" spans="1:2" x14ac:dyDescent="0.25">
      <c r="A3640" s="3">
        <v>3635</v>
      </c>
      <c r="B3640" s="3" t="str">
        <f>"200805000797"</f>
        <v>200805000797</v>
      </c>
    </row>
    <row r="3641" spans="1:2" x14ac:dyDescent="0.25">
      <c r="A3641" s="3">
        <v>3636</v>
      </c>
      <c r="B3641" s="3" t="str">
        <f>"200805001013"</f>
        <v>200805001013</v>
      </c>
    </row>
    <row r="3642" spans="1:2" x14ac:dyDescent="0.25">
      <c r="A3642" s="3">
        <v>3637</v>
      </c>
      <c r="B3642" s="3" t="str">
        <f>"200805001084"</f>
        <v>200805001084</v>
      </c>
    </row>
    <row r="3643" spans="1:2" x14ac:dyDescent="0.25">
      <c r="A3643" s="3">
        <v>3638</v>
      </c>
      <c r="B3643" s="3" t="str">
        <f>"200805001196"</f>
        <v>200805001196</v>
      </c>
    </row>
    <row r="3644" spans="1:2" x14ac:dyDescent="0.25">
      <c r="A3644" s="3">
        <v>3639</v>
      </c>
      <c r="B3644" s="3" t="str">
        <f>"200805001226"</f>
        <v>200805001226</v>
      </c>
    </row>
    <row r="3645" spans="1:2" x14ac:dyDescent="0.25">
      <c r="A3645" s="3">
        <v>3640</v>
      </c>
      <c r="B3645" s="3" t="str">
        <f>"200805001245"</f>
        <v>200805001245</v>
      </c>
    </row>
    <row r="3646" spans="1:2" x14ac:dyDescent="0.25">
      <c r="A3646" s="3">
        <v>3641</v>
      </c>
      <c r="B3646" s="3" t="str">
        <f>"200807000144"</f>
        <v>200807000144</v>
      </c>
    </row>
    <row r="3647" spans="1:2" x14ac:dyDescent="0.25">
      <c r="A3647" s="3">
        <v>3642</v>
      </c>
      <c r="B3647" s="3" t="str">
        <f>"200807000416"</f>
        <v>200807000416</v>
      </c>
    </row>
    <row r="3648" spans="1:2" x14ac:dyDescent="0.25">
      <c r="A3648" s="3">
        <v>3643</v>
      </c>
      <c r="B3648" s="3" t="str">
        <f>"200807000836"</f>
        <v>200807000836</v>
      </c>
    </row>
    <row r="3649" spans="1:2" x14ac:dyDescent="0.25">
      <c r="A3649" s="3">
        <v>3644</v>
      </c>
      <c r="B3649" s="3" t="str">
        <f>"200808000036"</f>
        <v>200808000036</v>
      </c>
    </row>
    <row r="3650" spans="1:2" x14ac:dyDescent="0.25">
      <c r="A3650" s="3">
        <v>3645</v>
      </c>
      <c r="B3650" s="3" t="str">
        <f>"200808000172"</f>
        <v>200808000172</v>
      </c>
    </row>
    <row r="3651" spans="1:2" x14ac:dyDescent="0.25">
      <c r="A3651" s="3">
        <v>3646</v>
      </c>
      <c r="B3651" s="3" t="str">
        <f>"200808000401"</f>
        <v>200808000401</v>
      </c>
    </row>
    <row r="3652" spans="1:2" x14ac:dyDescent="0.25">
      <c r="A3652" s="3">
        <v>3647</v>
      </c>
      <c r="B3652" s="3" t="str">
        <f>"200808000485"</f>
        <v>200808000485</v>
      </c>
    </row>
    <row r="3653" spans="1:2" x14ac:dyDescent="0.25">
      <c r="A3653" s="3">
        <v>3648</v>
      </c>
      <c r="B3653" s="3" t="str">
        <f>"200809000111"</f>
        <v>200809000111</v>
      </c>
    </row>
    <row r="3654" spans="1:2" x14ac:dyDescent="0.25">
      <c r="A3654" s="3">
        <v>3649</v>
      </c>
      <c r="B3654" s="3" t="str">
        <f>"200809000148"</f>
        <v>200809000148</v>
      </c>
    </row>
    <row r="3655" spans="1:2" x14ac:dyDescent="0.25">
      <c r="A3655" s="3">
        <v>3650</v>
      </c>
      <c r="B3655" s="3" t="str">
        <f>"200809000608"</f>
        <v>200809000608</v>
      </c>
    </row>
    <row r="3656" spans="1:2" x14ac:dyDescent="0.25">
      <c r="A3656" s="3">
        <v>3651</v>
      </c>
      <c r="B3656" s="3" t="str">
        <f>"200809000957"</f>
        <v>200809000957</v>
      </c>
    </row>
    <row r="3657" spans="1:2" x14ac:dyDescent="0.25">
      <c r="A3657" s="3">
        <v>3652</v>
      </c>
      <c r="B3657" s="3" t="str">
        <f>"200809001062"</f>
        <v>200809001062</v>
      </c>
    </row>
    <row r="3658" spans="1:2" x14ac:dyDescent="0.25">
      <c r="A3658" s="3">
        <v>3653</v>
      </c>
      <c r="B3658" s="3" t="str">
        <f>"200809001125"</f>
        <v>200809001125</v>
      </c>
    </row>
    <row r="3659" spans="1:2" x14ac:dyDescent="0.25">
      <c r="A3659" s="3">
        <v>3654</v>
      </c>
      <c r="B3659" s="3" t="str">
        <f>"200810000004"</f>
        <v>200810000004</v>
      </c>
    </row>
    <row r="3660" spans="1:2" x14ac:dyDescent="0.25">
      <c r="A3660" s="3">
        <v>3655</v>
      </c>
      <c r="B3660" s="3" t="str">
        <f>"200810000558"</f>
        <v>200810000558</v>
      </c>
    </row>
    <row r="3661" spans="1:2" x14ac:dyDescent="0.25">
      <c r="A3661" s="3">
        <v>3656</v>
      </c>
      <c r="B3661" s="3" t="str">
        <f>"200810000723"</f>
        <v>200810000723</v>
      </c>
    </row>
    <row r="3662" spans="1:2" x14ac:dyDescent="0.25">
      <c r="A3662" s="3">
        <v>3657</v>
      </c>
      <c r="B3662" s="3" t="str">
        <f>"200810000849"</f>
        <v>200810000849</v>
      </c>
    </row>
    <row r="3663" spans="1:2" x14ac:dyDescent="0.25">
      <c r="A3663" s="3">
        <v>3658</v>
      </c>
      <c r="B3663" s="3" t="str">
        <f>"200810001181"</f>
        <v>200810001181</v>
      </c>
    </row>
    <row r="3664" spans="1:2" x14ac:dyDescent="0.25">
      <c r="A3664" s="3">
        <v>3659</v>
      </c>
      <c r="B3664" s="3" t="str">
        <f>"200811000063"</f>
        <v>200811000063</v>
      </c>
    </row>
    <row r="3665" spans="1:2" x14ac:dyDescent="0.25">
      <c r="A3665" s="3">
        <v>3660</v>
      </c>
      <c r="B3665" s="3" t="str">
        <f>"200811000506"</f>
        <v>200811000506</v>
      </c>
    </row>
    <row r="3666" spans="1:2" x14ac:dyDescent="0.25">
      <c r="A3666" s="3">
        <v>3661</v>
      </c>
      <c r="B3666" s="3" t="str">
        <f>"200811000612"</f>
        <v>200811000612</v>
      </c>
    </row>
    <row r="3667" spans="1:2" x14ac:dyDescent="0.25">
      <c r="A3667" s="3">
        <v>3662</v>
      </c>
      <c r="B3667" s="3" t="str">
        <f>"200811000879"</f>
        <v>200811000879</v>
      </c>
    </row>
    <row r="3668" spans="1:2" x14ac:dyDescent="0.25">
      <c r="A3668" s="3">
        <v>3663</v>
      </c>
      <c r="B3668" s="3" t="str">
        <f>"200811001000"</f>
        <v>200811001000</v>
      </c>
    </row>
    <row r="3669" spans="1:2" x14ac:dyDescent="0.25">
      <c r="A3669" s="3">
        <v>3664</v>
      </c>
      <c r="B3669" s="3" t="str">
        <f>"200811001470"</f>
        <v>200811001470</v>
      </c>
    </row>
    <row r="3670" spans="1:2" x14ac:dyDescent="0.25">
      <c r="A3670" s="3">
        <v>3665</v>
      </c>
      <c r="B3670" s="3" t="str">
        <f>"200812000332"</f>
        <v>200812000332</v>
      </c>
    </row>
    <row r="3671" spans="1:2" x14ac:dyDescent="0.25">
      <c r="A3671" s="3">
        <v>3666</v>
      </c>
      <c r="B3671" s="3" t="str">
        <f>"200812000521"</f>
        <v>200812000521</v>
      </c>
    </row>
    <row r="3672" spans="1:2" x14ac:dyDescent="0.25">
      <c r="A3672" s="3">
        <v>3667</v>
      </c>
      <c r="B3672" s="3" t="str">
        <f>"200812000665"</f>
        <v>200812000665</v>
      </c>
    </row>
    <row r="3673" spans="1:2" x14ac:dyDescent="0.25">
      <c r="A3673" s="3">
        <v>3668</v>
      </c>
      <c r="B3673" s="3" t="str">
        <f>"200812000681"</f>
        <v>200812000681</v>
      </c>
    </row>
    <row r="3674" spans="1:2" x14ac:dyDescent="0.25">
      <c r="A3674" s="3">
        <v>3669</v>
      </c>
      <c r="B3674" s="3" t="str">
        <f>"200812000722"</f>
        <v>200812000722</v>
      </c>
    </row>
    <row r="3675" spans="1:2" x14ac:dyDescent="0.25">
      <c r="A3675" s="3">
        <v>3670</v>
      </c>
      <c r="B3675" s="3" t="str">
        <f>"200812000993"</f>
        <v>200812000993</v>
      </c>
    </row>
    <row r="3676" spans="1:2" x14ac:dyDescent="0.25">
      <c r="A3676" s="3">
        <v>3671</v>
      </c>
      <c r="B3676" s="3" t="str">
        <f>"200901000352"</f>
        <v>200901000352</v>
      </c>
    </row>
    <row r="3677" spans="1:2" x14ac:dyDescent="0.25">
      <c r="A3677" s="3">
        <v>3672</v>
      </c>
      <c r="B3677" s="3" t="str">
        <f>"200901000596"</f>
        <v>200901000596</v>
      </c>
    </row>
    <row r="3678" spans="1:2" x14ac:dyDescent="0.25">
      <c r="A3678" s="3">
        <v>3673</v>
      </c>
      <c r="B3678" s="3" t="str">
        <f>"200901000953"</f>
        <v>200901000953</v>
      </c>
    </row>
    <row r="3679" spans="1:2" x14ac:dyDescent="0.25">
      <c r="A3679" s="3">
        <v>3674</v>
      </c>
      <c r="B3679" s="3" t="str">
        <f>"200901000992"</f>
        <v>200901000992</v>
      </c>
    </row>
    <row r="3680" spans="1:2" x14ac:dyDescent="0.25">
      <c r="A3680" s="3">
        <v>3675</v>
      </c>
      <c r="B3680" s="3" t="str">
        <f>"200902000022"</f>
        <v>200902000022</v>
      </c>
    </row>
    <row r="3681" spans="1:2" x14ac:dyDescent="0.25">
      <c r="A3681" s="3">
        <v>3676</v>
      </c>
      <c r="B3681" s="3" t="str">
        <f>"200902000516"</f>
        <v>200902000516</v>
      </c>
    </row>
    <row r="3682" spans="1:2" x14ac:dyDescent="0.25">
      <c r="A3682" s="3">
        <v>3677</v>
      </c>
      <c r="B3682" s="3" t="str">
        <f>"200903000059"</f>
        <v>200903000059</v>
      </c>
    </row>
    <row r="3683" spans="1:2" x14ac:dyDescent="0.25">
      <c r="A3683" s="3">
        <v>3678</v>
      </c>
      <c r="B3683" s="3" t="str">
        <f>"200903000178"</f>
        <v>200903000178</v>
      </c>
    </row>
    <row r="3684" spans="1:2" x14ac:dyDescent="0.25">
      <c r="A3684" s="3">
        <v>3679</v>
      </c>
      <c r="B3684" s="3" t="str">
        <f>"200903000373"</f>
        <v>200903000373</v>
      </c>
    </row>
    <row r="3685" spans="1:2" x14ac:dyDescent="0.25">
      <c r="A3685" s="3">
        <v>3680</v>
      </c>
      <c r="B3685" s="3" t="str">
        <f>"200903000680"</f>
        <v>200903000680</v>
      </c>
    </row>
    <row r="3686" spans="1:2" x14ac:dyDescent="0.25">
      <c r="A3686" s="3">
        <v>3681</v>
      </c>
      <c r="B3686" s="3" t="str">
        <f>"200904000005"</f>
        <v>200904000005</v>
      </c>
    </row>
    <row r="3687" spans="1:2" x14ac:dyDescent="0.25">
      <c r="A3687" s="3">
        <v>3682</v>
      </c>
      <c r="B3687" s="3" t="str">
        <f>"200904000030"</f>
        <v>200904000030</v>
      </c>
    </row>
    <row r="3688" spans="1:2" x14ac:dyDescent="0.25">
      <c r="A3688" s="3">
        <v>3683</v>
      </c>
      <c r="B3688" s="3" t="str">
        <f>"200904000511"</f>
        <v>200904000511</v>
      </c>
    </row>
    <row r="3689" spans="1:2" x14ac:dyDescent="0.25">
      <c r="A3689" s="3">
        <v>3684</v>
      </c>
      <c r="B3689" s="3" t="str">
        <f>"200905000160"</f>
        <v>200905000160</v>
      </c>
    </row>
    <row r="3690" spans="1:2" x14ac:dyDescent="0.25">
      <c r="A3690" s="3">
        <v>3685</v>
      </c>
      <c r="B3690" s="3" t="str">
        <f>"200905000196"</f>
        <v>200905000196</v>
      </c>
    </row>
    <row r="3691" spans="1:2" x14ac:dyDescent="0.25">
      <c r="A3691" s="3">
        <v>3686</v>
      </c>
      <c r="B3691" s="3" t="str">
        <f>"200905000213"</f>
        <v>200905000213</v>
      </c>
    </row>
    <row r="3692" spans="1:2" x14ac:dyDescent="0.25">
      <c r="A3692" s="3">
        <v>3687</v>
      </c>
      <c r="B3692" s="3" t="str">
        <f>"200905000353"</f>
        <v>200905000353</v>
      </c>
    </row>
    <row r="3693" spans="1:2" x14ac:dyDescent="0.25">
      <c r="A3693" s="3">
        <v>3688</v>
      </c>
      <c r="B3693" s="3" t="str">
        <f>"200905000427"</f>
        <v>200905000427</v>
      </c>
    </row>
    <row r="3694" spans="1:2" x14ac:dyDescent="0.25">
      <c r="A3694" s="3">
        <v>3689</v>
      </c>
      <c r="B3694" s="3" t="str">
        <f>"200905000545"</f>
        <v>200905000545</v>
      </c>
    </row>
    <row r="3695" spans="1:2" x14ac:dyDescent="0.25">
      <c r="A3695" s="3">
        <v>3690</v>
      </c>
      <c r="B3695" s="3" t="str">
        <f>"200906000040"</f>
        <v>200906000040</v>
      </c>
    </row>
    <row r="3696" spans="1:2" x14ac:dyDescent="0.25">
      <c r="A3696" s="3">
        <v>3691</v>
      </c>
      <c r="B3696" s="3" t="str">
        <f>"200906000131"</f>
        <v>200906000131</v>
      </c>
    </row>
    <row r="3697" spans="1:2" x14ac:dyDescent="0.25">
      <c r="A3697" s="3">
        <v>3692</v>
      </c>
      <c r="B3697" s="3" t="str">
        <f>"200906000224"</f>
        <v>200906000224</v>
      </c>
    </row>
    <row r="3698" spans="1:2" x14ac:dyDescent="0.25">
      <c r="A3698" s="3">
        <v>3693</v>
      </c>
      <c r="B3698" s="3" t="str">
        <f>"200906000615"</f>
        <v>200906000615</v>
      </c>
    </row>
    <row r="3699" spans="1:2" x14ac:dyDescent="0.25">
      <c r="A3699" s="3">
        <v>3694</v>
      </c>
      <c r="B3699" s="3" t="str">
        <f>"200906000674"</f>
        <v>200906000674</v>
      </c>
    </row>
    <row r="3700" spans="1:2" x14ac:dyDescent="0.25">
      <c r="A3700" s="3">
        <v>3695</v>
      </c>
      <c r="B3700" s="3" t="str">
        <f>"200907000400"</f>
        <v>200907000400</v>
      </c>
    </row>
    <row r="3701" spans="1:2" x14ac:dyDescent="0.25">
      <c r="A3701" s="3">
        <v>3696</v>
      </c>
      <c r="B3701" s="3" t="str">
        <f>"200908000107"</f>
        <v>200908000107</v>
      </c>
    </row>
    <row r="3702" spans="1:2" x14ac:dyDescent="0.25">
      <c r="A3702" s="3">
        <v>3697</v>
      </c>
      <c r="B3702" s="3" t="str">
        <f>"200909000231"</f>
        <v>200909000231</v>
      </c>
    </row>
    <row r="3703" spans="1:2" x14ac:dyDescent="0.25">
      <c r="A3703" s="3">
        <v>3698</v>
      </c>
      <c r="B3703" s="3" t="str">
        <f>"200909000267"</f>
        <v>200909000267</v>
      </c>
    </row>
    <row r="3704" spans="1:2" x14ac:dyDescent="0.25">
      <c r="A3704" s="3">
        <v>3699</v>
      </c>
      <c r="B3704" s="3" t="str">
        <f>"200910000048"</f>
        <v>200910000048</v>
      </c>
    </row>
    <row r="3705" spans="1:2" x14ac:dyDescent="0.25">
      <c r="A3705" s="3">
        <v>3700</v>
      </c>
      <c r="B3705" s="3" t="str">
        <f>"200910000105"</f>
        <v>200910000105</v>
      </c>
    </row>
    <row r="3706" spans="1:2" x14ac:dyDescent="0.25">
      <c r="A3706" s="3">
        <v>3701</v>
      </c>
      <c r="B3706" s="3" t="str">
        <f>"200910000422"</f>
        <v>200910000422</v>
      </c>
    </row>
    <row r="3707" spans="1:2" x14ac:dyDescent="0.25">
      <c r="A3707" s="3">
        <v>3702</v>
      </c>
      <c r="B3707" s="3" t="str">
        <f>"200910000433"</f>
        <v>200910000433</v>
      </c>
    </row>
    <row r="3708" spans="1:2" x14ac:dyDescent="0.25">
      <c r="A3708" s="3">
        <v>3703</v>
      </c>
      <c r="B3708" s="3" t="str">
        <f>"200910000444"</f>
        <v>200910000444</v>
      </c>
    </row>
    <row r="3709" spans="1:2" x14ac:dyDescent="0.25">
      <c r="A3709" s="3">
        <v>3704</v>
      </c>
      <c r="B3709" s="3" t="str">
        <f>"200910000810"</f>
        <v>200910000810</v>
      </c>
    </row>
    <row r="3710" spans="1:2" x14ac:dyDescent="0.25">
      <c r="A3710" s="3">
        <v>3705</v>
      </c>
      <c r="B3710" s="3" t="str">
        <f>"200911000133"</f>
        <v>200911000133</v>
      </c>
    </row>
    <row r="3711" spans="1:2" x14ac:dyDescent="0.25">
      <c r="A3711" s="3">
        <v>3706</v>
      </c>
      <c r="B3711" s="3" t="str">
        <f>"200911000287"</f>
        <v>200911000287</v>
      </c>
    </row>
    <row r="3712" spans="1:2" x14ac:dyDescent="0.25">
      <c r="A3712" s="3">
        <v>3707</v>
      </c>
      <c r="B3712" s="3" t="str">
        <f>"200911000461"</f>
        <v>200911000461</v>
      </c>
    </row>
    <row r="3713" spans="1:2" x14ac:dyDescent="0.25">
      <c r="A3713" s="3">
        <v>3708</v>
      </c>
      <c r="B3713" s="3" t="str">
        <f>"200912000023"</f>
        <v>200912000023</v>
      </c>
    </row>
    <row r="3714" spans="1:2" x14ac:dyDescent="0.25">
      <c r="A3714" s="3">
        <v>3709</v>
      </c>
      <c r="B3714" s="3" t="str">
        <f>"200912000045"</f>
        <v>200912000045</v>
      </c>
    </row>
    <row r="3715" spans="1:2" x14ac:dyDescent="0.25">
      <c r="A3715" s="3">
        <v>3710</v>
      </c>
      <c r="B3715" s="3" t="str">
        <f>"200912000102"</f>
        <v>200912000102</v>
      </c>
    </row>
    <row r="3716" spans="1:2" x14ac:dyDescent="0.25">
      <c r="A3716" s="3">
        <v>3711</v>
      </c>
      <c r="B3716" s="3" t="str">
        <f>"200912000271"</f>
        <v>200912000271</v>
      </c>
    </row>
    <row r="3717" spans="1:2" x14ac:dyDescent="0.25">
      <c r="A3717" s="3">
        <v>3712</v>
      </c>
      <c r="B3717" s="3" t="str">
        <f>"200912000273"</f>
        <v>200912000273</v>
      </c>
    </row>
    <row r="3718" spans="1:2" x14ac:dyDescent="0.25">
      <c r="A3718" s="3">
        <v>3713</v>
      </c>
      <c r="B3718" s="3" t="str">
        <f>"200912000315"</f>
        <v>200912000315</v>
      </c>
    </row>
    <row r="3719" spans="1:2" x14ac:dyDescent="0.25">
      <c r="A3719" s="3">
        <v>3714</v>
      </c>
      <c r="B3719" s="3" t="str">
        <f>"201001000016"</f>
        <v>201001000016</v>
      </c>
    </row>
    <row r="3720" spans="1:2" x14ac:dyDescent="0.25">
      <c r="A3720" s="3">
        <v>3715</v>
      </c>
      <c r="B3720" s="3" t="str">
        <f>"201001000059"</f>
        <v>201001000059</v>
      </c>
    </row>
    <row r="3721" spans="1:2" x14ac:dyDescent="0.25">
      <c r="A3721" s="3">
        <v>3716</v>
      </c>
      <c r="B3721" s="3" t="str">
        <f>"201001000295"</f>
        <v>201001000295</v>
      </c>
    </row>
    <row r="3722" spans="1:2" x14ac:dyDescent="0.25">
      <c r="A3722" s="3">
        <v>3717</v>
      </c>
      <c r="B3722" s="3" t="str">
        <f>"201002000102"</f>
        <v>201002000102</v>
      </c>
    </row>
    <row r="3723" spans="1:2" x14ac:dyDescent="0.25">
      <c r="A3723" s="3">
        <v>3718</v>
      </c>
      <c r="B3723" s="3" t="str">
        <f>"201002000149"</f>
        <v>201002000149</v>
      </c>
    </row>
    <row r="3724" spans="1:2" x14ac:dyDescent="0.25">
      <c r="A3724" s="3">
        <v>3719</v>
      </c>
      <c r="B3724" s="3" t="str">
        <f>"201002000391"</f>
        <v>201002000391</v>
      </c>
    </row>
    <row r="3725" spans="1:2" x14ac:dyDescent="0.25">
      <c r="A3725" s="3">
        <v>3720</v>
      </c>
      <c r="B3725" s="3" t="str">
        <f>"201002000406"</f>
        <v>201002000406</v>
      </c>
    </row>
    <row r="3726" spans="1:2" x14ac:dyDescent="0.25">
      <c r="A3726" s="3">
        <v>3721</v>
      </c>
      <c r="B3726" s="3" t="str">
        <f>"201003000138"</f>
        <v>201003000138</v>
      </c>
    </row>
    <row r="3727" spans="1:2" x14ac:dyDescent="0.25">
      <c r="A3727" s="3">
        <v>3722</v>
      </c>
      <c r="B3727" s="3" t="str">
        <f>"201003000213"</f>
        <v>201003000213</v>
      </c>
    </row>
    <row r="3728" spans="1:2" x14ac:dyDescent="0.25">
      <c r="A3728" s="3">
        <v>3723</v>
      </c>
      <c r="B3728" s="3" t="str">
        <f>"201004000052"</f>
        <v>201004000052</v>
      </c>
    </row>
    <row r="3729" spans="1:2" x14ac:dyDescent="0.25">
      <c r="A3729" s="3">
        <v>3724</v>
      </c>
      <c r="B3729" s="3" t="str">
        <f>"201005000018"</f>
        <v>201005000018</v>
      </c>
    </row>
    <row r="3730" spans="1:2" x14ac:dyDescent="0.25">
      <c r="A3730" s="3">
        <v>3725</v>
      </c>
      <c r="B3730" s="3" t="str">
        <f>"201005000091"</f>
        <v>201005000091</v>
      </c>
    </row>
    <row r="3731" spans="1:2" x14ac:dyDescent="0.25">
      <c r="A3731" s="3">
        <v>3726</v>
      </c>
      <c r="B3731" s="3" t="str">
        <f>"201005000166"</f>
        <v>201005000166</v>
      </c>
    </row>
    <row r="3732" spans="1:2" x14ac:dyDescent="0.25">
      <c r="A3732" s="3">
        <v>3727</v>
      </c>
      <c r="B3732" s="3" t="str">
        <f>"201008000020"</f>
        <v>201008000020</v>
      </c>
    </row>
    <row r="3733" spans="1:2" x14ac:dyDescent="0.25">
      <c r="A3733" s="3">
        <v>3728</v>
      </c>
      <c r="B3733" s="3" t="str">
        <f>"201008000167"</f>
        <v>201008000167</v>
      </c>
    </row>
    <row r="3734" spans="1:2" x14ac:dyDescent="0.25">
      <c r="A3734" s="3">
        <v>3729</v>
      </c>
      <c r="B3734" s="3" t="str">
        <f>"201010000057"</f>
        <v>201010000057</v>
      </c>
    </row>
    <row r="3735" spans="1:2" x14ac:dyDescent="0.25">
      <c r="A3735" s="3">
        <v>3730</v>
      </c>
      <c r="B3735" s="3" t="str">
        <f>"201010000185"</f>
        <v>201010000185</v>
      </c>
    </row>
    <row r="3736" spans="1:2" x14ac:dyDescent="0.25">
      <c r="A3736" s="3">
        <v>3731</v>
      </c>
      <c r="B3736" s="3" t="str">
        <f>"201011000044"</f>
        <v>201011000044</v>
      </c>
    </row>
    <row r="3737" spans="1:2" x14ac:dyDescent="0.25">
      <c r="A3737" s="3">
        <v>3732</v>
      </c>
      <c r="B3737" s="3" t="str">
        <f>"201011000049"</f>
        <v>201011000049</v>
      </c>
    </row>
    <row r="3738" spans="1:2" x14ac:dyDescent="0.25">
      <c r="A3738" s="3">
        <v>3733</v>
      </c>
      <c r="B3738" s="3" t="str">
        <f>"201011000081"</f>
        <v>201011000081</v>
      </c>
    </row>
    <row r="3739" spans="1:2" x14ac:dyDescent="0.25">
      <c r="A3739" s="3">
        <v>3734</v>
      </c>
      <c r="B3739" s="3" t="str">
        <f>"201011000092"</f>
        <v>201011000092</v>
      </c>
    </row>
    <row r="3740" spans="1:2" x14ac:dyDescent="0.25">
      <c r="A3740" s="3">
        <v>3735</v>
      </c>
      <c r="B3740" s="3" t="str">
        <f>"201011000185"</f>
        <v>201011000185</v>
      </c>
    </row>
    <row r="3741" spans="1:2" x14ac:dyDescent="0.25">
      <c r="A3741" s="3">
        <v>3736</v>
      </c>
      <c r="B3741" s="3" t="str">
        <f>"201012000165"</f>
        <v>201012000165</v>
      </c>
    </row>
    <row r="3742" spans="1:2" x14ac:dyDescent="0.25">
      <c r="A3742" s="3">
        <v>3737</v>
      </c>
      <c r="B3742" s="3" t="str">
        <f>"201101000089"</f>
        <v>201101000089</v>
      </c>
    </row>
    <row r="3743" spans="1:2" x14ac:dyDescent="0.25">
      <c r="A3743" s="3">
        <v>3738</v>
      </c>
      <c r="B3743" s="3" t="str">
        <f>"201102000011"</f>
        <v>201102000011</v>
      </c>
    </row>
    <row r="3744" spans="1:2" x14ac:dyDescent="0.25">
      <c r="A3744" s="3">
        <v>3739</v>
      </c>
      <c r="B3744" s="3" t="str">
        <f>"201102000045"</f>
        <v>201102000045</v>
      </c>
    </row>
    <row r="3745" spans="1:2" x14ac:dyDescent="0.25">
      <c r="A3745" s="3">
        <v>3740</v>
      </c>
      <c r="B3745" s="3" t="str">
        <f>"201102000070"</f>
        <v>201102000070</v>
      </c>
    </row>
    <row r="3746" spans="1:2" x14ac:dyDescent="0.25">
      <c r="A3746" s="3">
        <v>3741</v>
      </c>
      <c r="B3746" s="3" t="str">
        <f>"201102000124"</f>
        <v>201102000124</v>
      </c>
    </row>
    <row r="3747" spans="1:2" x14ac:dyDescent="0.25">
      <c r="A3747" s="3">
        <v>3742</v>
      </c>
      <c r="B3747" s="3" t="str">
        <f>"201102000127"</f>
        <v>201102000127</v>
      </c>
    </row>
    <row r="3748" spans="1:2" x14ac:dyDescent="0.25">
      <c r="A3748" s="3">
        <v>3743</v>
      </c>
      <c r="B3748" s="3" t="str">
        <f>"201102000137"</f>
        <v>201102000137</v>
      </c>
    </row>
    <row r="3749" spans="1:2" x14ac:dyDescent="0.25">
      <c r="A3749" s="3">
        <v>3744</v>
      </c>
      <c r="B3749" s="3" t="str">
        <f>"201102000191"</f>
        <v>201102000191</v>
      </c>
    </row>
    <row r="3750" spans="1:2" x14ac:dyDescent="0.25">
      <c r="A3750" s="3">
        <v>3745</v>
      </c>
      <c r="B3750" s="3" t="str">
        <f>"201102000266"</f>
        <v>201102000266</v>
      </c>
    </row>
    <row r="3751" spans="1:2" x14ac:dyDescent="0.25">
      <c r="A3751" s="3">
        <v>3746</v>
      </c>
      <c r="B3751" s="3" t="str">
        <f>"201102000274"</f>
        <v>201102000274</v>
      </c>
    </row>
    <row r="3752" spans="1:2" x14ac:dyDescent="0.25">
      <c r="A3752" s="3">
        <v>3747</v>
      </c>
      <c r="B3752" s="3" t="str">
        <f>"201102000286"</f>
        <v>201102000286</v>
      </c>
    </row>
    <row r="3753" spans="1:2" x14ac:dyDescent="0.25">
      <c r="A3753" s="3">
        <v>3748</v>
      </c>
      <c r="B3753" s="3" t="str">
        <f>"201102000305"</f>
        <v>201102000305</v>
      </c>
    </row>
    <row r="3754" spans="1:2" x14ac:dyDescent="0.25">
      <c r="A3754" s="3">
        <v>3749</v>
      </c>
      <c r="B3754" s="3" t="str">
        <f>"201102000342"</f>
        <v>201102000342</v>
      </c>
    </row>
    <row r="3755" spans="1:2" x14ac:dyDescent="0.25">
      <c r="A3755" s="3">
        <v>3750</v>
      </c>
      <c r="B3755" s="3" t="str">
        <f>"201102000355"</f>
        <v>201102000355</v>
      </c>
    </row>
    <row r="3756" spans="1:2" x14ac:dyDescent="0.25">
      <c r="A3756" s="3">
        <v>3751</v>
      </c>
      <c r="B3756" s="3" t="str">
        <f>"201102000366"</f>
        <v>201102000366</v>
      </c>
    </row>
    <row r="3757" spans="1:2" x14ac:dyDescent="0.25">
      <c r="A3757" s="3">
        <v>3752</v>
      </c>
      <c r="B3757" s="3" t="str">
        <f>"201102000391"</f>
        <v>201102000391</v>
      </c>
    </row>
    <row r="3758" spans="1:2" x14ac:dyDescent="0.25">
      <c r="A3758" s="3">
        <v>3753</v>
      </c>
      <c r="B3758" s="3" t="str">
        <f>"201102000414"</f>
        <v>201102000414</v>
      </c>
    </row>
    <row r="3759" spans="1:2" x14ac:dyDescent="0.25">
      <c r="A3759" s="3">
        <v>3754</v>
      </c>
      <c r="B3759" s="3" t="str">
        <f>"201102000418"</f>
        <v>201102000418</v>
      </c>
    </row>
    <row r="3760" spans="1:2" x14ac:dyDescent="0.25">
      <c r="A3760" s="3">
        <v>3755</v>
      </c>
      <c r="B3760" s="3" t="str">
        <f>"201102000446"</f>
        <v>201102000446</v>
      </c>
    </row>
    <row r="3761" spans="1:2" x14ac:dyDescent="0.25">
      <c r="A3761" s="3">
        <v>3756</v>
      </c>
      <c r="B3761" s="3" t="str">
        <f>"201102000456"</f>
        <v>201102000456</v>
      </c>
    </row>
    <row r="3762" spans="1:2" x14ac:dyDescent="0.25">
      <c r="A3762" s="3">
        <v>3757</v>
      </c>
      <c r="B3762" s="3" t="str">
        <f>"201102000480"</f>
        <v>201102000480</v>
      </c>
    </row>
    <row r="3763" spans="1:2" x14ac:dyDescent="0.25">
      <c r="A3763" s="3">
        <v>3758</v>
      </c>
      <c r="B3763" s="3" t="str">
        <f>"201102000529"</f>
        <v>201102000529</v>
      </c>
    </row>
    <row r="3764" spans="1:2" x14ac:dyDescent="0.25">
      <c r="A3764" s="3">
        <v>3759</v>
      </c>
      <c r="B3764" s="3" t="str">
        <f>"201102000555"</f>
        <v>201102000555</v>
      </c>
    </row>
    <row r="3765" spans="1:2" x14ac:dyDescent="0.25">
      <c r="A3765" s="3">
        <v>3760</v>
      </c>
      <c r="B3765" s="3" t="str">
        <f>"201102000570"</f>
        <v>201102000570</v>
      </c>
    </row>
    <row r="3766" spans="1:2" x14ac:dyDescent="0.25">
      <c r="A3766" s="3">
        <v>3761</v>
      </c>
      <c r="B3766" s="3" t="str">
        <f>"201102000573"</f>
        <v>201102000573</v>
      </c>
    </row>
    <row r="3767" spans="1:2" x14ac:dyDescent="0.25">
      <c r="A3767" s="3">
        <v>3762</v>
      </c>
      <c r="B3767" s="3" t="str">
        <f>"201102000611"</f>
        <v>201102000611</v>
      </c>
    </row>
    <row r="3768" spans="1:2" x14ac:dyDescent="0.25">
      <c r="A3768" s="3">
        <v>3763</v>
      </c>
      <c r="B3768" s="3" t="str">
        <f>"201102000634"</f>
        <v>201102000634</v>
      </c>
    </row>
    <row r="3769" spans="1:2" x14ac:dyDescent="0.25">
      <c r="A3769" s="3">
        <v>3764</v>
      </c>
      <c r="B3769" s="3" t="str">
        <f>"201102000666"</f>
        <v>201102000666</v>
      </c>
    </row>
    <row r="3770" spans="1:2" x14ac:dyDescent="0.25">
      <c r="A3770" s="3">
        <v>3765</v>
      </c>
      <c r="B3770" s="3" t="str">
        <f>"201102000724"</f>
        <v>201102000724</v>
      </c>
    </row>
    <row r="3771" spans="1:2" x14ac:dyDescent="0.25">
      <c r="A3771" s="3">
        <v>3766</v>
      </c>
      <c r="B3771" s="3" t="str">
        <f>"201102000833"</f>
        <v>201102000833</v>
      </c>
    </row>
    <row r="3772" spans="1:2" x14ac:dyDescent="0.25">
      <c r="A3772" s="3">
        <v>3767</v>
      </c>
      <c r="B3772" s="3" t="str">
        <f>"201102000895"</f>
        <v>201102000895</v>
      </c>
    </row>
    <row r="3773" spans="1:2" x14ac:dyDescent="0.25">
      <c r="A3773" s="3">
        <v>3768</v>
      </c>
      <c r="B3773" s="3" t="str">
        <f>"201102000903"</f>
        <v>201102000903</v>
      </c>
    </row>
    <row r="3774" spans="1:2" x14ac:dyDescent="0.25">
      <c r="A3774" s="3">
        <v>3769</v>
      </c>
      <c r="B3774" s="3" t="str">
        <f>"201102000944"</f>
        <v>201102000944</v>
      </c>
    </row>
    <row r="3775" spans="1:2" x14ac:dyDescent="0.25">
      <c r="A3775" s="3">
        <v>3770</v>
      </c>
      <c r="B3775" s="3" t="str">
        <f>"201102000949"</f>
        <v>201102000949</v>
      </c>
    </row>
    <row r="3776" spans="1:2" x14ac:dyDescent="0.25">
      <c r="A3776" s="3">
        <v>3771</v>
      </c>
      <c r="B3776" s="3" t="str">
        <f>"201103000028"</f>
        <v>201103000028</v>
      </c>
    </row>
    <row r="3777" spans="1:2" x14ac:dyDescent="0.25">
      <c r="A3777" s="3">
        <v>3772</v>
      </c>
      <c r="B3777" s="3" t="str">
        <f>"201103000061"</f>
        <v>201103000061</v>
      </c>
    </row>
    <row r="3778" spans="1:2" x14ac:dyDescent="0.25">
      <c r="A3778" s="3">
        <v>3773</v>
      </c>
      <c r="B3778" s="3" t="str">
        <f>"201103000208"</f>
        <v>201103000208</v>
      </c>
    </row>
    <row r="3779" spans="1:2" x14ac:dyDescent="0.25">
      <c r="A3779" s="3">
        <v>3774</v>
      </c>
      <c r="B3779" s="3" t="str">
        <f>"201103000257"</f>
        <v>201103000257</v>
      </c>
    </row>
    <row r="3780" spans="1:2" x14ac:dyDescent="0.25">
      <c r="A3780" s="3">
        <v>3775</v>
      </c>
      <c r="B3780" s="3" t="str">
        <f>"201103000321"</f>
        <v>201103000321</v>
      </c>
    </row>
    <row r="3781" spans="1:2" x14ac:dyDescent="0.25">
      <c r="A3781" s="3">
        <v>3776</v>
      </c>
      <c r="B3781" s="3" t="str">
        <f>"201104000019"</f>
        <v>201104000019</v>
      </c>
    </row>
    <row r="3782" spans="1:2" x14ac:dyDescent="0.25">
      <c r="A3782" s="3">
        <v>3777</v>
      </c>
      <c r="B3782" s="3" t="str">
        <f>"201104000035"</f>
        <v>201104000035</v>
      </c>
    </row>
    <row r="3783" spans="1:2" x14ac:dyDescent="0.25">
      <c r="A3783" s="3">
        <v>3778</v>
      </c>
      <c r="B3783" s="3" t="str">
        <f>"201104000038"</f>
        <v>201104000038</v>
      </c>
    </row>
    <row r="3784" spans="1:2" x14ac:dyDescent="0.25">
      <c r="A3784" s="3">
        <v>3779</v>
      </c>
      <c r="B3784" s="3" t="str">
        <f>"201104000073"</f>
        <v>201104000073</v>
      </c>
    </row>
    <row r="3785" spans="1:2" x14ac:dyDescent="0.25">
      <c r="A3785" s="3">
        <v>3780</v>
      </c>
      <c r="B3785" s="3" t="str">
        <f>"201104000087"</f>
        <v>201104000087</v>
      </c>
    </row>
    <row r="3786" spans="1:2" x14ac:dyDescent="0.25">
      <c r="A3786" s="3">
        <v>3781</v>
      </c>
      <c r="B3786" s="3" t="str">
        <f>"201104000091"</f>
        <v>201104000091</v>
      </c>
    </row>
    <row r="3787" spans="1:2" x14ac:dyDescent="0.25">
      <c r="A3787" s="3">
        <v>3782</v>
      </c>
      <c r="B3787" s="3" t="str">
        <f>"201104000136"</f>
        <v>201104000136</v>
      </c>
    </row>
    <row r="3788" spans="1:2" x14ac:dyDescent="0.25">
      <c r="A3788" s="3">
        <v>3783</v>
      </c>
      <c r="B3788" s="3" t="str">
        <f>"201105000018"</f>
        <v>201105000018</v>
      </c>
    </row>
    <row r="3789" spans="1:2" x14ac:dyDescent="0.25">
      <c r="A3789" s="3">
        <v>3784</v>
      </c>
      <c r="B3789" s="3" t="str">
        <f>"201105000061"</f>
        <v>201105000061</v>
      </c>
    </row>
    <row r="3790" spans="1:2" x14ac:dyDescent="0.25">
      <c r="A3790" s="3">
        <v>3785</v>
      </c>
      <c r="B3790" s="3" t="str">
        <f>"201105000063"</f>
        <v>201105000063</v>
      </c>
    </row>
    <row r="3791" spans="1:2" x14ac:dyDescent="0.25">
      <c r="A3791" s="3">
        <v>3786</v>
      </c>
      <c r="B3791" s="3" t="str">
        <f>"201105000161"</f>
        <v>201105000161</v>
      </c>
    </row>
    <row r="3792" spans="1:2" x14ac:dyDescent="0.25">
      <c r="A3792" s="3">
        <v>3787</v>
      </c>
      <c r="B3792" s="3" t="str">
        <f>"201106000111"</f>
        <v>201106000111</v>
      </c>
    </row>
    <row r="3793" spans="1:2" x14ac:dyDescent="0.25">
      <c r="A3793" s="3">
        <v>3788</v>
      </c>
      <c r="B3793" s="3" t="str">
        <f>"201107000021"</f>
        <v>201107000021</v>
      </c>
    </row>
    <row r="3794" spans="1:2" x14ac:dyDescent="0.25">
      <c r="A3794" s="3">
        <v>3789</v>
      </c>
      <c r="B3794" s="3" t="str">
        <f>"201107000040"</f>
        <v>201107000040</v>
      </c>
    </row>
    <row r="3795" spans="1:2" x14ac:dyDescent="0.25">
      <c r="A3795" s="3">
        <v>3790</v>
      </c>
      <c r="B3795" s="3" t="str">
        <f>"201107000091"</f>
        <v>201107000091</v>
      </c>
    </row>
    <row r="3796" spans="1:2" x14ac:dyDescent="0.25">
      <c r="A3796" s="3">
        <v>3791</v>
      </c>
      <c r="B3796" s="3" t="str">
        <f>"201108000116"</f>
        <v>201108000116</v>
      </c>
    </row>
    <row r="3797" spans="1:2" x14ac:dyDescent="0.25">
      <c r="A3797" s="3">
        <v>3792</v>
      </c>
      <c r="B3797" s="3" t="str">
        <f>"201109000018"</f>
        <v>201109000018</v>
      </c>
    </row>
    <row r="3798" spans="1:2" x14ac:dyDescent="0.25">
      <c r="A3798" s="3">
        <v>3793</v>
      </c>
      <c r="B3798" s="3" t="str">
        <f>"201110000009"</f>
        <v>201110000009</v>
      </c>
    </row>
    <row r="3799" spans="1:2" x14ac:dyDescent="0.25">
      <c r="A3799" s="3">
        <v>3794</v>
      </c>
      <c r="B3799" s="3" t="str">
        <f>"201110000014"</f>
        <v>201110000014</v>
      </c>
    </row>
    <row r="3800" spans="1:2" x14ac:dyDescent="0.25">
      <c r="A3800" s="3">
        <v>3795</v>
      </c>
      <c r="B3800" s="3" t="str">
        <f>"201110000019"</f>
        <v>201110000019</v>
      </c>
    </row>
    <row r="3801" spans="1:2" x14ac:dyDescent="0.25">
      <c r="A3801" s="3">
        <v>3796</v>
      </c>
      <c r="B3801" s="3" t="str">
        <f>"201111000034"</f>
        <v>201111000034</v>
      </c>
    </row>
    <row r="3802" spans="1:2" x14ac:dyDescent="0.25">
      <c r="A3802" s="3">
        <v>3797</v>
      </c>
      <c r="B3802" s="3" t="str">
        <f>"201112000033"</f>
        <v>201112000033</v>
      </c>
    </row>
    <row r="3803" spans="1:2" x14ac:dyDescent="0.25">
      <c r="A3803" s="3">
        <v>3798</v>
      </c>
      <c r="B3803" s="3" t="str">
        <f>"201112000074"</f>
        <v>201112000074</v>
      </c>
    </row>
    <row r="3804" spans="1:2" x14ac:dyDescent="0.25">
      <c r="A3804" s="3">
        <v>3799</v>
      </c>
      <c r="B3804" s="3" t="str">
        <f>"201201000085"</f>
        <v>201201000085</v>
      </c>
    </row>
    <row r="3805" spans="1:2" x14ac:dyDescent="0.25">
      <c r="A3805" s="3">
        <v>3800</v>
      </c>
      <c r="B3805" s="3" t="str">
        <f>"201201000139"</f>
        <v>201201000139</v>
      </c>
    </row>
    <row r="3806" spans="1:2" x14ac:dyDescent="0.25">
      <c r="A3806" s="3">
        <v>3801</v>
      </c>
      <c r="B3806" s="3" t="str">
        <f>"201202000004"</f>
        <v>201202000004</v>
      </c>
    </row>
    <row r="3807" spans="1:2" x14ac:dyDescent="0.25">
      <c r="A3807" s="3">
        <v>3802</v>
      </c>
      <c r="B3807" s="3" t="str">
        <f>"201202000136"</f>
        <v>201202000136</v>
      </c>
    </row>
    <row r="3808" spans="1:2" x14ac:dyDescent="0.25">
      <c r="A3808" s="3">
        <v>3803</v>
      </c>
      <c r="B3808" s="3" t="str">
        <f>"201203000039"</f>
        <v>201203000039</v>
      </c>
    </row>
    <row r="3809" spans="1:2" x14ac:dyDescent="0.25">
      <c r="A3809" s="3">
        <v>3804</v>
      </c>
      <c r="B3809" s="3" t="str">
        <f>"201204000004"</f>
        <v>201204000004</v>
      </c>
    </row>
    <row r="3810" spans="1:2" x14ac:dyDescent="0.25">
      <c r="A3810" s="3">
        <v>3805</v>
      </c>
      <c r="B3810" s="3" t="str">
        <f>"201204000101"</f>
        <v>201204000101</v>
      </c>
    </row>
    <row r="3811" spans="1:2" x14ac:dyDescent="0.25">
      <c r="A3811" s="3">
        <v>3806</v>
      </c>
      <c r="B3811" s="3" t="str">
        <f>"201205000021"</f>
        <v>201205000021</v>
      </c>
    </row>
    <row r="3812" spans="1:2" x14ac:dyDescent="0.25">
      <c r="A3812" s="3">
        <v>3807</v>
      </c>
      <c r="B3812" s="3" t="str">
        <f>"201207000097"</f>
        <v>201207000097</v>
      </c>
    </row>
    <row r="3813" spans="1:2" x14ac:dyDescent="0.25">
      <c r="A3813" s="3">
        <v>3808</v>
      </c>
      <c r="B3813" s="3" t="str">
        <f>"201207000153"</f>
        <v>201207000153</v>
      </c>
    </row>
    <row r="3814" spans="1:2" x14ac:dyDescent="0.25">
      <c r="A3814" s="3">
        <v>3809</v>
      </c>
      <c r="B3814" s="3" t="str">
        <f>"201208000096"</f>
        <v>201208000096</v>
      </c>
    </row>
    <row r="3815" spans="1:2" x14ac:dyDescent="0.25">
      <c r="A3815" s="3">
        <v>3810</v>
      </c>
      <c r="B3815" s="3" t="str">
        <f>"201210000095"</f>
        <v>201210000095</v>
      </c>
    </row>
    <row r="3816" spans="1:2" x14ac:dyDescent="0.25">
      <c r="A3816" s="3">
        <v>3811</v>
      </c>
      <c r="B3816" s="3" t="str">
        <f>"201210000135"</f>
        <v>201210000135</v>
      </c>
    </row>
    <row r="3817" spans="1:2" x14ac:dyDescent="0.25">
      <c r="A3817" s="3">
        <v>3812</v>
      </c>
      <c r="B3817" s="3" t="str">
        <f>"201210000160"</f>
        <v>201210000160</v>
      </c>
    </row>
    <row r="3818" spans="1:2" x14ac:dyDescent="0.25">
      <c r="A3818" s="3">
        <v>3813</v>
      </c>
      <c r="B3818" s="3" t="str">
        <f>"201211000036"</f>
        <v>201211000036</v>
      </c>
    </row>
    <row r="3819" spans="1:2" x14ac:dyDescent="0.25">
      <c r="A3819" s="3">
        <v>3814</v>
      </c>
      <c r="B3819" s="3" t="str">
        <f>"201302000047"</f>
        <v>201302000047</v>
      </c>
    </row>
    <row r="3820" spans="1:2" x14ac:dyDescent="0.25">
      <c r="A3820" s="3">
        <v>3815</v>
      </c>
      <c r="B3820" s="3" t="str">
        <f>"201302000071"</f>
        <v>201302000071</v>
      </c>
    </row>
    <row r="3821" spans="1:2" x14ac:dyDescent="0.25">
      <c r="A3821" s="3">
        <v>3816</v>
      </c>
      <c r="B3821" s="3" t="str">
        <f>"201302000107"</f>
        <v>201302000107</v>
      </c>
    </row>
    <row r="3822" spans="1:2" x14ac:dyDescent="0.25">
      <c r="A3822" s="3">
        <v>3817</v>
      </c>
      <c r="B3822" s="3" t="str">
        <f>"201303000109"</f>
        <v>201303000109</v>
      </c>
    </row>
    <row r="3823" spans="1:2" x14ac:dyDescent="0.25">
      <c r="A3823" s="3">
        <v>3818</v>
      </c>
      <c r="B3823" s="3" t="str">
        <f>"201303000148"</f>
        <v>201303000148</v>
      </c>
    </row>
    <row r="3824" spans="1:2" x14ac:dyDescent="0.25">
      <c r="A3824" s="3">
        <v>3819</v>
      </c>
      <c r="B3824" s="3" t="str">
        <f>"201304001808"</f>
        <v>201304001808</v>
      </c>
    </row>
    <row r="3825" spans="1:2" x14ac:dyDescent="0.25">
      <c r="A3825" s="3">
        <v>3820</v>
      </c>
      <c r="B3825" s="3" t="str">
        <f>"201304002108"</f>
        <v>201304002108</v>
      </c>
    </row>
    <row r="3826" spans="1:2" x14ac:dyDescent="0.25">
      <c r="A3826" s="3">
        <v>3821</v>
      </c>
      <c r="B3826" s="3" t="str">
        <f>"201305000073"</f>
        <v>201305000073</v>
      </c>
    </row>
    <row r="3827" spans="1:2" x14ac:dyDescent="0.25">
      <c r="A3827" s="3">
        <v>3822</v>
      </c>
      <c r="B3827" s="3" t="str">
        <f>"201306000089"</f>
        <v>201306000089</v>
      </c>
    </row>
    <row r="3828" spans="1:2" x14ac:dyDescent="0.25">
      <c r="A3828" s="3">
        <v>3823</v>
      </c>
      <c r="B3828" s="3" t="str">
        <f>"201306000100"</f>
        <v>201306000100</v>
      </c>
    </row>
    <row r="3829" spans="1:2" x14ac:dyDescent="0.25">
      <c r="A3829" s="3">
        <v>3824</v>
      </c>
      <c r="B3829" s="3" t="str">
        <f>"201308000101"</f>
        <v>201308000101</v>
      </c>
    </row>
    <row r="3830" spans="1:2" x14ac:dyDescent="0.25">
      <c r="A3830" s="3">
        <v>3825</v>
      </c>
      <c r="B3830" s="3" t="str">
        <f>"201312000153"</f>
        <v>201312000153</v>
      </c>
    </row>
    <row r="3831" spans="1:2" x14ac:dyDescent="0.25">
      <c r="A3831" s="3">
        <v>3826</v>
      </c>
      <c r="B3831" s="3" t="str">
        <f>"201401000435"</f>
        <v>201401000435</v>
      </c>
    </row>
    <row r="3832" spans="1:2" x14ac:dyDescent="0.25">
      <c r="A3832" s="3">
        <v>3827</v>
      </c>
      <c r="B3832" s="3" t="str">
        <f>"201401001347"</f>
        <v>201401001347</v>
      </c>
    </row>
    <row r="3833" spans="1:2" x14ac:dyDescent="0.25">
      <c r="A3833" s="3">
        <v>3828</v>
      </c>
      <c r="B3833" s="3" t="str">
        <f>"201401001798"</f>
        <v>201401001798</v>
      </c>
    </row>
    <row r="3834" spans="1:2" x14ac:dyDescent="0.25">
      <c r="A3834" s="3">
        <v>3829</v>
      </c>
      <c r="B3834" s="3" t="str">
        <f>"201401001892"</f>
        <v>201401001892</v>
      </c>
    </row>
    <row r="3835" spans="1:2" x14ac:dyDescent="0.25">
      <c r="A3835" s="3">
        <v>3830</v>
      </c>
      <c r="B3835" s="3" t="str">
        <f>"201401001945"</f>
        <v>201401001945</v>
      </c>
    </row>
    <row r="3836" spans="1:2" x14ac:dyDescent="0.25">
      <c r="A3836" s="3">
        <v>3831</v>
      </c>
      <c r="B3836" s="3" t="str">
        <f>"201401002029"</f>
        <v>201401002029</v>
      </c>
    </row>
    <row r="3837" spans="1:2" x14ac:dyDescent="0.25">
      <c r="A3837" s="3">
        <v>3832</v>
      </c>
      <c r="B3837" s="3" t="str">
        <f>"201401002199"</f>
        <v>201401002199</v>
      </c>
    </row>
    <row r="3838" spans="1:2" x14ac:dyDescent="0.25">
      <c r="A3838" s="3">
        <v>3833</v>
      </c>
      <c r="B3838" s="3" t="str">
        <f>"201401002234"</f>
        <v>201401002234</v>
      </c>
    </row>
    <row r="3839" spans="1:2" x14ac:dyDescent="0.25">
      <c r="A3839" s="3">
        <v>3834</v>
      </c>
      <c r="B3839" s="3" t="str">
        <f>"201401002307"</f>
        <v>201401002307</v>
      </c>
    </row>
    <row r="3840" spans="1:2" x14ac:dyDescent="0.25">
      <c r="A3840" s="3">
        <v>3835</v>
      </c>
      <c r="B3840" s="3" t="str">
        <f>"201401002346"</f>
        <v>201401002346</v>
      </c>
    </row>
    <row r="3841" spans="1:2" x14ac:dyDescent="0.25">
      <c r="A3841" s="3">
        <v>3836</v>
      </c>
      <c r="B3841" s="3" t="str">
        <f>"201401002385"</f>
        <v>201401002385</v>
      </c>
    </row>
    <row r="3842" spans="1:2" x14ac:dyDescent="0.25">
      <c r="A3842" s="3">
        <v>3837</v>
      </c>
      <c r="B3842" s="3" t="str">
        <f>"201401002395"</f>
        <v>201401002395</v>
      </c>
    </row>
    <row r="3843" spans="1:2" x14ac:dyDescent="0.25">
      <c r="A3843" s="3">
        <v>3838</v>
      </c>
      <c r="B3843" s="3" t="str">
        <f>"201401002455"</f>
        <v>201401002455</v>
      </c>
    </row>
    <row r="3844" spans="1:2" x14ac:dyDescent="0.25">
      <c r="A3844" s="3">
        <v>3839</v>
      </c>
      <c r="B3844" s="3" t="str">
        <f>"201401002523"</f>
        <v>201401002523</v>
      </c>
    </row>
    <row r="3845" spans="1:2" x14ac:dyDescent="0.25">
      <c r="A3845" s="3">
        <v>3840</v>
      </c>
      <c r="B3845" s="3" t="str">
        <f>"201401002577"</f>
        <v>201401002577</v>
      </c>
    </row>
    <row r="3846" spans="1:2" x14ac:dyDescent="0.25">
      <c r="A3846" s="3">
        <v>3841</v>
      </c>
      <c r="B3846" s="3" t="str">
        <f>"201401002584"</f>
        <v>201401002584</v>
      </c>
    </row>
    <row r="3847" spans="1:2" x14ac:dyDescent="0.25">
      <c r="A3847" s="3">
        <v>3842</v>
      </c>
      <c r="B3847" s="3" t="str">
        <f>"201401002679"</f>
        <v>201401002679</v>
      </c>
    </row>
    <row r="3848" spans="1:2" x14ac:dyDescent="0.25">
      <c r="A3848" s="3">
        <v>3843</v>
      </c>
      <c r="B3848" s="3" t="str">
        <f>"201402000194"</f>
        <v>201402000194</v>
      </c>
    </row>
    <row r="3849" spans="1:2" x14ac:dyDescent="0.25">
      <c r="A3849" s="3">
        <v>3844</v>
      </c>
      <c r="B3849" s="3" t="str">
        <f>"201402000399"</f>
        <v>201402000399</v>
      </c>
    </row>
    <row r="3850" spans="1:2" x14ac:dyDescent="0.25">
      <c r="A3850" s="3">
        <v>3845</v>
      </c>
      <c r="B3850" s="3" t="str">
        <f>"201402000581"</f>
        <v>201402000581</v>
      </c>
    </row>
    <row r="3851" spans="1:2" x14ac:dyDescent="0.25">
      <c r="A3851" s="3">
        <v>3846</v>
      </c>
      <c r="B3851" s="3" t="str">
        <f>"201402000806"</f>
        <v>201402000806</v>
      </c>
    </row>
    <row r="3852" spans="1:2" x14ac:dyDescent="0.25">
      <c r="A3852" s="3">
        <v>3847</v>
      </c>
      <c r="B3852" s="3" t="str">
        <f>"201402000990"</f>
        <v>201402000990</v>
      </c>
    </row>
    <row r="3853" spans="1:2" x14ac:dyDescent="0.25">
      <c r="A3853" s="3">
        <v>3848</v>
      </c>
      <c r="B3853" s="3" t="str">
        <f>"201402001215"</f>
        <v>201402001215</v>
      </c>
    </row>
    <row r="3854" spans="1:2" x14ac:dyDescent="0.25">
      <c r="A3854" s="3">
        <v>3849</v>
      </c>
      <c r="B3854" s="3" t="str">
        <f>"201402001242"</f>
        <v>201402001242</v>
      </c>
    </row>
    <row r="3855" spans="1:2" x14ac:dyDescent="0.25">
      <c r="A3855" s="3">
        <v>3850</v>
      </c>
      <c r="B3855" s="3" t="str">
        <f>"201402001311"</f>
        <v>201402001311</v>
      </c>
    </row>
    <row r="3856" spans="1:2" x14ac:dyDescent="0.25">
      <c r="A3856" s="3">
        <v>3851</v>
      </c>
      <c r="B3856" s="3" t="str">
        <f>"201402001329"</f>
        <v>201402001329</v>
      </c>
    </row>
    <row r="3857" spans="1:2" x14ac:dyDescent="0.25">
      <c r="A3857" s="3">
        <v>3852</v>
      </c>
      <c r="B3857" s="3" t="str">
        <f>"201402001335"</f>
        <v>201402001335</v>
      </c>
    </row>
    <row r="3858" spans="1:2" x14ac:dyDescent="0.25">
      <c r="A3858" s="3">
        <v>3853</v>
      </c>
      <c r="B3858" s="3" t="str">
        <f>"201402001500"</f>
        <v>201402001500</v>
      </c>
    </row>
    <row r="3859" spans="1:2" x14ac:dyDescent="0.25">
      <c r="A3859" s="3">
        <v>3854</v>
      </c>
      <c r="B3859" s="3" t="str">
        <f>"201402001654"</f>
        <v>201402001654</v>
      </c>
    </row>
    <row r="3860" spans="1:2" x14ac:dyDescent="0.25">
      <c r="A3860" s="3">
        <v>3855</v>
      </c>
      <c r="B3860" s="3" t="str">
        <f>"201402001761"</f>
        <v>201402001761</v>
      </c>
    </row>
    <row r="3861" spans="1:2" x14ac:dyDescent="0.25">
      <c r="A3861" s="3">
        <v>3856</v>
      </c>
      <c r="B3861" s="3" t="str">
        <f>"201402001786"</f>
        <v>201402001786</v>
      </c>
    </row>
    <row r="3862" spans="1:2" x14ac:dyDescent="0.25">
      <c r="A3862" s="3">
        <v>3857</v>
      </c>
      <c r="B3862" s="3" t="str">
        <f>"201402001787"</f>
        <v>201402001787</v>
      </c>
    </row>
    <row r="3863" spans="1:2" x14ac:dyDescent="0.25">
      <c r="A3863" s="3">
        <v>3858</v>
      </c>
      <c r="B3863" s="3" t="str">
        <f>"201402001836"</f>
        <v>201402001836</v>
      </c>
    </row>
    <row r="3864" spans="1:2" x14ac:dyDescent="0.25">
      <c r="A3864" s="3">
        <v>3859</v>
      </c>
      <c r="B3864" s="3" t="str">
        <f>"201402002094"</f>
        <v>201402002094</v>
      </c>
    </row>
    <row r="3865" spans="1:2" x14ac:dyDescent="0.25">
      <c r="A3865" s="3">
        <v>3860</v>
      </c>
      <c r="B3865" s="3" t="str">
        <f>"201402002133"</f>
        <v>201402002133</v>
      </c>
    </row>
    <row r="3866" spans="1:2" x14ac:dyDescent="0.25">
      <c r="A3866" s="3">
        <v>3861</v>
      </c>
      <c r="B3866" s="3" t="str">
        <f>"201402002201"</f>
        <v>201402002201</v>
      </c>
    </row>
    <row r="3867" spans="1:2" x14ac:dyDescent="0.25">
      <c r="A3867" s="3">
        <v>3862</v>
      </c>
      <c r="B3867" s="3" t="str">
        <f>"201402002234"</f>
        <v>201402002234</v>
      </c>
    </row>
    <row r="3868" spans="1:2" x14ac:dyDescent="0.25">
      <c r="A3868" s="3">
        <v>3863</v>
      </c>
      <c r="B3868" s="3" t="str">
        <f>"201402002236"</f>
        <v>201402002236</v>
      </c>
    </row>
    <row r="3869" spans="1:2" x14ac:dyDescent="0.25">
      <c r="A3869" s="3">
        <v>3864</v>
      </c>
      <c r="B3869" s="3" t="str">
        <f>"201402002293"</f>
        <v>201402002293</v>
      </c>
    </row>
    <row r="3870" spans="1:2" x14ac:dyDescent="0.25">
      <c r="A3870" s="3">
        <v>3865</v>
      </c>
      <c r="B3870" s="3" t="str">
        <f>"201402002521"</f>
        <v>201402002521</v>
      </c>
    </row>
    <row r="3871" spans="1:2" x14ac:dyDescent="0.25">
      <c r="A3871" s="3">
        <v>3866</v>
      </c>
      <c r="B3871" s="3" t="str">
        <f>"201402003198"</f>
        <v>201402003198</v>
      </c>
    </row>
    <row r="3872" spans="1:2" x14ac:dyDescent="0.25">
      <c r="A3872" s="3">
        <v>3867</v>
      </c>
      <c r="B3872" s="3" t="str">
        <f>"201402004538"</f>
        <v>201402004538</v>
      </c>
    </row>
    <row r="3873" spans="1:2" x14ac:dyDescent="0.25">
      <c r="A3873" s="3">
        <v>3868</v>
      </c>
      <c r="B3873" s="3" t="str">
        <f>"201402005902"</f>
        <v>201402005902</v>
      </c>
    </row>
    <row r="3874" spans="1:2" x14ac:dyDescent="0.25">
      <c r="A3874" s="3">
        <v>3869</v>
      </c>
      <c r="B3874" s="3" t="str">
        <f>"201402005938"</f>
        <v>201402005938</v>
      </c>
    </row>
    <row r="3875" spans="1:2" x14ac:dyDescent="0.25">
      <c r="A3875" s="3">
        <v>3870</v>
      </c>
      <c r="B3875" s="3" t="str">
        <f>"201402005988"</f>
        <v>201402005988</v>
      </c>
    </row>
    <row r="3876" spans="1:2" x14ac:dyDescent="0.25">
      <c r="A3876" s="3">
        <v>3871</v>
      </c>
      <c r="B3876" s="3" t="str">
        <f>"201402006243"</f>
        <v>201402006243</v>
      </c>
    </row>
    <row r="3877" spans="1:2" x14ac:dyDescent="0.25">
      <c r="A3877" s="3">
        <v>3872</v>
      </c>
      <c r="B3877" s="3" t="str">
        <f>"201402006625"</f>
        <v>201402006625</v>
      </c>
    </row>
    <row r="3878" spans="1:2" x14ac:dyDescent="0.25">
      <c r="A3878" s="3">
        <v>3873</v>
      </c>
      <c r="B3878" s="3" t="str">
        <f>"201402008084"</f>
        <v>201402008084</v>
      </c>
    </row>
    <row r="3879" spans="1:2" x14ac:dyDescent="0.25">
      <c r="A3879" s="3">
        <v>3874</v>
      </c>
      <c r="B3879" s="3" t="str">
        <f>"201402008209"</f>
        <v>201402008209</v>
      </c>
    </row>
    <row r="3880" spans="1:2" x14ac:dyDescent="0.25">
      <c r="A3880" s="3">
        <v>3875</v>
      </c>
      <c r="B3880" s="3" t="str">
        <f>"201402008451"</f>
        <v>201402008451</v>
      </c>
    </row>
    <row r="3881" spans="1:2" x14ac:dyDescent="0.25">
      <c r="A3881" s="3">
        <v>3876</v>
      </c>
      <c r="B3881" s="3" t="str">
        <f>"201402009647"</f>
        <v>201402009647</v>
      </c>
    </row>
    <row r="3882" spans="1:2" x14ac:dyDescent="0.25">
      <c r="A3882" s="3">
        <v>3877</v>
      </c>
      <c r="B3882" s="3" t="str">
        <f>"201402009785"</f>
        <v>201402009785</v>
      </c>
    </row>
    <row r="3883" spans="1:2" x14ac:dyDescent="0.25">
      <c r="A3883" s="3">
        <v>3878</v>
      </c>
      <c r="B3883" s="3" t="str">
        <f>"201402009940"</f>
        <v>201402009940</v>
      </c>
    </row>
    <row r="3884" spans="1:2" x14ac:dyDescent="0.25">
      <c r="A3884" s="3">
        <v>3879</v>
      </c>
      <c r="B3884" s="3" t="str">
        <f>"201402010160"</f>
        <v>201402010160</v>
      </c>
    </row>
    <row r="3885" spans="1:2" x14ac:dyDescent="0.25">
      <c r="A3885" s="3">
        <v>3880</v>
      </c>
      <c r="B3885" s="3" t="str">
        <f>"201402011041"</f>
        <v>201402011041</v>
      </c>
    </row>
    <row r="3886" spans="1:2" x14ac:dyDescent="0.25">
      <c r="A3886" s="3">
        <v>3881</v>
      </c>
      <c r="B3886" s="3" t="str">
        <f>"201402011370"</f>
        <v>201402011370</v>
      </c>
    </row>
    <row r="3887" spans="1:2" x14ac:dyDescent="0.25">
      <c r="A3887" s="3">
        <v>3882</v>
      </c>
      <c r="B3887" s="3" t="str">
        <f>"201402012435"</f>
        <v>201402012435</v>
      </c>
    </row>
    <row r="3888" spans="1:2" x14ac:dyDescent="0.25">
      <c r="A3888" s="3">
        <v>3883</v>
      </c>
      <c r="B3888" s="3" t="str">
        <f>"201402012505"</f>
        <v>201402012505</v>
      </c>
    </row>
    <row r="3889" spans="1:2" x14ac:dyDescent="0.25">
      <c r="A3889" s="3">
        <v>3884</v>
      </c>
      <c r="B3889" s="3" t="str">
        <f>"201402012518"</f>
        <v>201402012518</v>
      </c>
    </row>
    <row r="3890" spans="1:2" x14ac:dyDescent="0.25">
      <c r="A3890" s="3">
        <v>3885</v>
      </c>
      <c r="B3890" s="3" t="str">
        <f>"201402012520"</f>
        <v>201402012520</v>
      </c>
    </row>
    <row r="3891" spans="1:2" x14ac:dyDescent="0.25">
      <c r="A3891" s="3">
        <v>3886</v>
      </c>
      <c r="B3891" s="3" t="str">
        <f>"201402012544"</f>
        <v>201402012544</v>
      </c>
    </row>
    <row r="3892" spans="1:2" x14ac:dyDescent="0.25">
      <c r="A3892" s="3">
        <v>3887</v>
      </c>
      <c r="B3892" s="3" t="str">
        <f>"201403000070"</f>
        <v>201403000070</v>
      </c>
    </row>
    <row r="3893" spans="1:2" x14ac:dyDescent="0.25">
      <c r="A3893" s="3">
        <v>3888</v>
      </c>
      <c r="B3893" s="3" t="str">
        <f>"201404000071"</f>
        <v>201404000071</v>
      </c>
    </row>
    <row r="3894" spans="1:2" x14ac:dyDescent="0.25">
      <c r="A3894" s="3">
        <v>3889</v>
      </c>
      <c r="B3894" s="3" t="str">
        <f>"201404000077"</f>
        <v>201404000077</v>
      </c>
    </row>
    <row r="3895" spans="1:2" x14ac:dyDescent="0.25">
      <c r="A3895" s="3">
        <v>3890</v>
      </c>
      <c r="B3895" s="3" t="str">
        <f>"201404000080"</f>
        <v>201404000080</v>
      </c>
    </row>
    <row r="3896" spans="1:2" x14ac:dyDescent="0.25">
      <c r="A3896" s="3">
        <v>3891</v>
      </c>
      <c r="B3896" s="3" t="str">
        <f>"201405000112"</f>
        <v>201405000112</v>
      </c>
    </row>
    <row r="3897" spans="1:2" x14ac:dyDescent="0.25">
      <c r="A3897" s="3">
        <v>3892</v>
      </c>
      <c r="B3897" s="3" t="str">
        <f>"201405000462"</f>
        <v>201405000462</v>
      </c>
    </row>
    <row r="3898" spans="1:2" x14ac:dyDescent="0.25">
      <c r="A3898" s="3">
        <v>3893</v>
      </c>
      <c r="B3898" s="3" t="str">
        <f>"201405000760"</f>
        <v>201405000760</v>
      </c>
    </row>
    <row r="3899" spans="1:2" x14ac:dyDescent="0.25">
      <c r="A3899" s="3">
        <v>3894</v>
      </c>
      <c r="B3899" s="3" t="str">
        <f>"201405000776"</f>
        <v>201405000776</v>
      </c>
    </row>
    <row r="3900" spans="1:2" x14ac:dyDescent="0.25">
      <c r="A3900" s="3">
        <v>3895</v>
      </c>
      <c r="B3900" s="3" t="str">
        <f>"201405001630"</f>
        <v>201405001630</v>
      </c>
    </row>
    <row r="3901" spans="1:2" x14ac:dyDescent="0.25">
      <c r="A3901" s="3">
        <v>3896</v>
      </c>
      <c r="B3901" s="3" t="str">
        <f>"201405001726"</f>
        <v>201405001726</v>
      </c>
    </row>
    <row r="3902" spans="1:2" x14ac:dyDescent="0.25">
      <c r="A3902" s="3">
        <v>3897</v>
      </c>
      <c r="B3902" s="3" t="str">
        <f>"201405001911"</f>
        <v>201405001911</v>
      </c>
    </row>
    <row r="3903" spans="1:2" x14ac:dyDescent="0.25">
      <c r="A3903" s="3">
        <v>3898</v>
      </c>
      <c r="B3903" s="3" t="str">
        <f>"201405001957"</f>
        <v>201405001957</v>
      </c>
    </row>
    <row r="3904" spans="1:2" x14ac:dyDescent="0.25">
      <c r="A3904" s="3">
        <v>3899</v>
      </c>
      <c r="B3904" s="3" t="str">
        <f>"201406000405"</f>
        <v>201406000405</v>
      </c>
    </row>
    <row r="3905" spans="1:2" x14ac:dyDescent="0.25">
      <c r="A3905" s="3">
        <v>3900</v>
      </c>
      <c r="B3905" s="3" t="str">
        <f>"201406000489"</f>
        <v>201406000489</v>
      </c>
    </row>
    <row r="3906" spans="1:2" x14ac:dyDescent="0.25">
      <c r="A3906" s="3">
        <v>3901</v>
      </c>
      <c r="B3906" s="3" t="str">
        <f>"201406000655"</f>
        <v>201406000655</v>
      </c>
    </row>
    <row r="3907" spans="1:2" x14ac:dyDescent="0.25">
      <c r="A3907" s="3">
        <v>3902</v>
      </c>
      <c r="B3907" s="3" t="str">
        <f>"201406000977"</f>
        <v>201406000977</v>
      </c>
    </row>
    <row r="3908" spans="1:2" x14ac:dyDescent="0.25">
      <c r="A3908" s="3">
        <v>3903</v>
      </c>
      <c r="B3908" s="3" t="str">
        <f>"201406001009"</f>
        <v>201406001009</v>
      </c>
    </row>
    <row r="3909" spans="1:2" x14ac:dyDescent="0.25">
      <c r="A3909" s="3">
        <v>3904</v>
      </c>
      <c r="B3909" s="3" t="str">
        <f>"201406001388"</f>
        <v>201406001388</v>
      </c>
    </row>
    <row r="3910" spans="1:2" x14ac:dyDescent="0.25">
      <c r="A3910" s="3">
        <v>3905</v>
      </c>
      <c r="B3910" s="3" t="str">
        <f>"201406001681"</f>
        <v>201406001681</v>
      </c>
    </row>
    <row r="3911" spans="1:2" x14ac:dyDescent="0.25">
      <c r="A3911" s="3">
        <v>3906</v>
      </c>
      <c r="B3911" s="3" t="str">
        <f>"201406001804"</f>
        <v>201406001804</v>
      </c>
    </row>
    <row r="3912" spans="1:2" x14ac:dyDescent="0.25">
      <c r="A3912" s="3">
        <v>3907</v>
      </c>
      <c r="B3912" s="3" t="str">
        <f>"201406001883"</f>
        <v>201406001883</v>
      </c>
    </row>
    <row r="3913" spans="1:2" x14ac:dyDescent="0.25">
      <c r="A3913" s="3">
        <v>3908</v>
      </c>
      <c r="B3913" s="3" t="str">
        <f>"201406001897"</f>
        <v>201406001897</v>
      </c>
    </row>
    <row r="3914" spans="1:2" x14ac:dyDescent="0.25">
      <c r="A3914" s="3">
        <v>3909</v>
      </c>
      <c r="B3914" s="3" t="str">
        <f>"201406002141"</f>
        <v>201406002141</v>
      </c>
    </row>
    <row r="3915" spans="1:2" x14ac:dyDescent="0.25">
      <c r="A3915" s="3">
        <v>3910</v>
      </c>
      <c r="B3915" s="3" t="str">
        <f>"201406002265"</f>
        <v>201406002265</v>
      </c>
    </row>
    <row r="3916" spans="1:2" x14ac:dyDescent="0.25">
      <c r="A3916" s="3">
        <v>3911</v>
      </c>
      <c r="B3916" s="3" t="str">
        <f>"201406002761"</f>
        <v>201406002761</v>
      </c>
    </row>
    <row r="3917" spans="1:2" x14ac:dyDescent="0.25">
      <c r="A3917" s="3">
        <v>3912</v>
      </c>
      <c r="B3917" s="3" t="str">
        <f>"201406002998"</f>
        <v>201406002998</v>
      </c>
    </row>
    <row r="3918" spans="1:2" x14ac:dyDescent="0.25">
      <c r="A3918" s="3">
        <v>3913</v>
      </c>
      <c r="B3918" s="3" t="str">
        <f>"201406003059"</f>
        <v>201406003059</v>
      </c>
    </row>
    <row r="3919" spans="1:2" x14ac:dyDescent="0.25">
      <c r="A3919" s="3">
        <v>3914</v>
      </c>
      <c r="B3919" s="3" t="str">
        <f>"201406003081"</f>
        <v>201406003081</v>
      </c>
    </row>
    <row r="3920" spans="1:2" x14ac:dyDescent="0.25">
      <c r="A3920" s="3">
        <v>3915</v>
      </c>
      <c r="B3920" s="3" t="str">
        <f>"201406003123"</f>
        <v>201406003123</v>
      </c>
    </row>
    <row r="3921" spans="1:2" x14ac:dyDescent="0.25">
      <c r="A3921" s="3">
        <v>3916</v>
      </c>
      <c r="B3921" s="3" t="str">
        <f>"201406003235"</f>
        <v>201406003235</v>
      </c>
    </row>
    <row r="3922" spans="1:2" x14ac:dyDescent="0.25">
      <c r="A3922" s="3">
        <v>3917</v>
      </c>
      <c r="B3922" s="3" t="str">
        <f>"201406003866"</f>
        <v>201406003866</v>
      </c>
    </row>
    <row r="3923" spans="1:2" x14ac:dyDescent="0.25">
      <c r="A3923" s="3">
        <v>3918</v>
      </c>
      <c r="B3923" s="3" t="str">
        <f>"201406004357"</f>
        <v>201406004357</v>
      </c>
    </row>
    <row r="3924" spans="1:2" x14ac:dyDescent="0.25">
      <c r="A3924" s="3">
        <v>3919</v>
      </c>
      <c r="B3924" s="3" t="str">
        <f>"201406005319"</f>
        <v>201406005319</v>
      </c>
    </row>
    <row r="3925" spans="1:2" x14ac:dyDescent="0.25">
      <c r="A3925" s="3">
        <v>3920</v>
      </c>
      <c r="B3925" s="3" t="str">
        <f>"201406005456"</f>
        <v>201406005456</v>
      </c>
    </row>
    <row r="3926" spans="1:2" x14ac:dyDescent="0.25">
      <c r="A3926" s="3">
        <v>3921</v>
      </c>
      <c r="B3926" s="3" t="str">
        <f>"201406005534"</f>
        <v>201406005534</v>
      </c>
    </row>
    <row r="3927" spans="1:2" x14ac:dyDescent="0.25">
      <c r="A3927" s="3">
        <v>3922</v>
      </c>
      <c r="B3927" s="3" t="str">
        <f>"201406005638"</f>
        <v>201406005638</v>
      </c>
    </row>
    <row r="3928" spans="1:2" x14ac:dyDescent="0.25">
      <c r="A3928" s="3">
        <v>3923</v>
      </c>
      <c r="B3928" s="3" t="str">
        <f>"201406005762"</f>
        <v>201406005762</v>
      </c>
    </row>
    <row r="3929" spans="1:2" x14ac:dyDescent="0.25">
      <c r="A3929" s="3">
        <v>3924</v>
      </c>
      <c r="B3929" s="3" t="str">
        <f>"201406006439"</f>
        <v>201406006439</v>
      </c>
    </row>
    <row r="3930" spans="1:2" x14ac:dyDescent="0.25">
      <c r="A3930" s="3">
        <v>3925</v>
      </c>
      <c r="B3930" s="3" t="str">
        <f>"201406006947"</f>
        <v>201406006947</v>
      </c>
    </row>
    <row r="3931" spans="1:2" x14ac:dyDescent="0.25">
      <c r="A3931" s="3">
        <v>3926</v>
      </c>
      <c r="B3931" s="3" t="str">
        <f>"201406007422"</f>
        <v>201406007422</v>
      </c>
    </row>
    <row r="3932" spans="1:2" x14ac:dyDescent="0.25">
      <c r="A3932" s="3">
        <v>3927</v>
      </c>
      <c r="B3932" s="3" t="str">
        <f>"201406007468"</f>
        <v>201406007468</v>
      </c>
    </row>
    <row r="3933" spans="1:2" x14ac:dyDescent="0.25">
      <c r="A3933" s="3">
        <v>3928</v>
      </c>
      <c r="B3933" s="3" t="str">
        <f>"201406007618"</f>
        <v>201406007618</v>
      </c>
    </row>
    <row r="3934" spans="1:2" x14ac:dyDescent="0.25">
      <c r="A3934" s="3">
        <v>3929</v>
      </c>
      <c r="B3934" s="3" t="str">
        <f>"201406007827"</f>
        <v>201406007827</v>
      </c>
    </row>
    <row r="3935" spans="1:2" x14ac:dyDescent="0.25">
      <c r="A3935" s="3">
        <v>3930</v>
      </c>
      <c r="B3935" s="3" t="str">
        <f>"201406008414"</f>
        <v>201406008414</v>
      </c>
    </row>
    <row r="3936" spans="1:2" x14ac:dyDescent="0.25">
      <c r="A3936" s="3">
        <v>3931</v>
      </c>
      <c r="B3936" s="3" t="str">
        <f>"201406009671"</f>
        <v>201406009671</v>
      </c>
    </row>
    <row r="3937" spans="1:2" x14ac:dyDescent="0.25">
      <c r="A3937" s="3">
        <v>3932</v>
      </c>
      <c r="B3937" s="3" t="str">
        <f>"201406010277"</f>
        <v>201406010277</v>
      </c>
    </row>
    <row r="3938" spans="1:2" x14ac:dyDescent="0.25">
      <c r="A3938" s="3">
        <v>3933</v>
      </c>
      <c r="B3938" s="3" t="str">
        <f>"201406010292"</f>
        <v>201406010292</v>
      </c>
    </row>
    <row r="3939" spans="1:2" x14ac:dyDescent="0.25">
      <c r="A3939" s="3">
        <v>3934</v>
      </c>
      <c r="B3939" s="3" t="str">
        <f>"201406011102"</f>
        <v>201406011102</v>
      </c>
    </row>
    <row r="3940" spans="1:2" x14ac:dyDescent="0.25">
      <c r="A3940" s="3">
        <v>3935</v>
      </c>
      <c r="B3940" s="3" t="str">
        <f>"201406011121"</f>
        <v>201406011121</v>
      </c>
    </row>
    <row r="3941" spans="1:2" x14ac:dyDescent="0.25">
      <c r="A3941" s="3">
        <v>3936</v>
      </c>
      <c r="B3941" s="3" t="str">
        <f>"201406011572"</f>
        <v>201406011572</v>
      </c>
    </row>
    <row r="3942" spans="1:2" x14ac:dyDescent="0.25">
      <c r="A3942" s="3">
        <v>3937</v>
      </c>
      <c r="B3942" s="3" t="str">
        <f>"201406011686"</f>
        <v>201406011686</v>
      </c>
    </row>
    <row r="3943" spans="1:2" x14ac:dyDescent="0.25">
      <c r="A3943" s="3">
        <v>3938</v>
      </c>
      <c r="B3943" s="3" t="str">
        <f>"201406012010"</f>
        <v>201406012010</v>
      </c>
    </row>
    <row r="3944" spans="1:2" x14ac:dyDescent="0.25">
      <c r="A3944" s="3">
        <v>3939</v>
      </c>
      <c r="B3944" s="3" t="str">
        <f>"201406012047"</f>
        <v>201406012047</v>
      </c>
    </row>
    <row r="3945" spans="1:2" x14ac:dyDescent="0.25">
      <c r="A3945" s="3">
        <v>3940</v>
      </c>
      <c r="B3945" s="3" t="str">
        <f>"201406012078"</f>
        <v>201406012078</v>
      </c>
    </row>
    <row r="3946" spans="1:2" x14ac:dyDescent="0.25">
      <c r="A3946" s="3">
        <v>3941</v>
      </c>
      <c r="B3946" s="3" t="str">
        <f>"201406012476"</f>
        <v>201406012476</v>
      </c>
    </row>
    <row r="3947" spans="1:2" x14ac:dyDescent="0.25">
      <c r="A3947" s="3">
        <v>3942</v>
      </c>
      <c r="B3947" s="3" t="str">
        <f>"201406012522"</f>
        <v>201406012522</v>
      </c>
    </row>
    <row r="3948" spans="1:2" x14ac:dyDescent="0.25">
      <c r="A3948" s="3">
        <v>3943</v>
      </c>
      <c r="B3948" s="3" t="str">
        <f>"201406012629"</f>
        <v>201406012629</v>
      </c>
    </row>
    <row r="3949" spans="1:2" x14ac:dyDescent="0.25">
      <c r="A3949" s="3">
        <v>3944</v>
      </c>
      <c r="B3949" s="3" t="str">
        <f>"201406012909"</f>
        <v>201406012909</v>
      </c>
    </row>
    <row r="3950" spans="1:2" x14ac:dyDescent="0.25">
      <c r="A3950" s="3">
        <v>3945</v>
      </c>
      <c r="B3950" s="3" t="str">
        <f>"201406013120"</f>
        <v>201406013120</v>
      </c>
    </row>
    <row r="3951" spans="1:2" x14ac:dyDescent="0.25">
      <c r="A3951" s="3">
        <v>3946</v>
      </c>
      <c r="B3951" s="3" t="str">
        <f>"201406013452"</f>
        <v>201406013452</v>
      </c>
    </row>
    <row r="3952" spans="1:2" x14ac:dyDescent="0.25">
      <c r="A3952" s="3">
        <v>3947</v>
      </c>
      <c r="B3952" s="3" t="str">
        <f>"201406014941"</f>
        <v>201406014941</v>
      </c>
    </row>
    <row r="3953" spans="1:2" x14ac:dyDescent="0.25">
      <c r="A3953" s="3">
        <v>3948</v>
      </c>
      <c r="B3953" s="3" t="str">
        <f>"201406015865"</f>
        <v>201406015865</v>
      </c>
    </row>
    <row r="3954" spans="1:2" x14ac:dyDescent="0.25">
      <c r="A3954" s="3">
        <v>3949</v>
      </c>
      <c r="B3954" s="3" t="str">
        <f>"201406016064"</f>
        <v>201406016064</v>
      </c>
    </row>
    <row r="3955" spans="1:2" x14ac:dyDescent="0.25">
      <c r="A3955" s="3">
        <v>3950</v>
      </c>
      <c r="B3955" s="3" t="str">
        <f>"201406016231"</f>
        <v>201406016231</v>
      </c>
    </row>
    <row r="3956" spans="1:2" x14ac:dyDescent="0.25">
      <c r="A3956" s="3">
        <v>3951</v>
      </c>
      <c r="B3956" s="3" t="str">
        <f>"201406016270"</f>
        <v>201406016270</v>
      </c>
    </row>
    <row r="3957" spans="1:2" x14ac:dyDescent="0.25">
      <c r="A3957" s="3">
        <v>3952</v>
      </c>
      <c r="B3957" s="3" t="str">
        <f>"201406017242"</f>
        <v>201406017242</v>
      </c>
    </row>
    <row r="3958" spans="1:2" x14ac:dyDescent="0.25">
      <c r="A3958" s="3">
        <v>3953</v>
      </c>
      <c r="B3958" s="3" t="str">
        <f>"201406017337"</f>
        <v>201406017337</v>
      </c>
    </row>
    <row r="3959" spans="1:2" x14ac:dyDescent="0.25">
      <c r="A3959" s="3">
        <v>3954</v>
      </c>
      <c r="B3959" s="3" t="str">
        <f>"201406017703"</f>
        <v>201406017703</v>
      </c>
    </row>
    <row r="3960" spans="1:2" x14ac:dyDescent="0.25">
      <c r="A3960" s="3">
        <v>3955</v>
      </c>
      <c r="B3960" s="3" t="str">
        <f>"201406017749"</f>
        <v>201406017749</v>
      </c>
    </row>
    <row r="3961" spans="1:2" x14ac:dyDescent="0.25">
      <c r="A3961" s="3">
        <v>3956</v>
      </c>
      <c r="B3961" s="3" t="str">
        <f>"201406017805"</f>
        <v>201406017805</v>
      </c>
    </row>
    <row r="3962" spans="1:2" x14ac:dyDescent="0.25">
      <c r="A3962" s="3">
        <v>3957</v>
      </c>
      <c r="B3962" s="3" t="str">
        <f>"201406018126"</f>
        <v>201406018126</v>
      </c>
    </row>
    <row r="3963" spans="1:2" x14ac:dyDescent="0.25">
      <c r="A3963" s="3">
        <v>3958</v>
      </c>
      <c r="B3963" s="3" t="str">
        <f>"201406018206"</f>
        <v>201406018206</v>
      </c>
    </row>
    <row r="3964" spans="1:2" x14ac:dyDescent="0.25">
      <c r="A3964" s="3">
        <v>3959</v>
      </c>
      <c r="B3964" s="3" t="str">
        <f>"201406019079"</f>
        <v>201406019079</v>
      </c>
    </row>
    <row r="3965" spans="1:2" x14ac:dyDescent="0.25">
      <c r="A3965" s="3">
        <v>3960</v>
      </c>
      <c r="B3965" s="3" t="str">
        <f>"201406019350"</f>
        <v>201406019350</v>
      </c>
    </row>
    <row r="3966" spans="1:2" x14ac:dyDescent="0.25">
      <c r="A3966" s="3">
        <v>3961</v>
      </c>
      <c r="B3966" s="3" t="str">
        <f>"201407000088"</f>
        <v>201407000088</v>
      </c>
    </row>
    <row r="3967" spans="1:2" x14ac:dyDescent="0.25">
      <c r="A3967" s="3">
        <v>3962</v>
      </c>
      <c r="B3967" s="3" t="str">
        <f>"201407000113"</f>
        <v>201407000113</v>
      </c>
    </row>
    <row r="3968" spans="1:2" x14ac:dyDescent="0.25">
      <c r="A3968" s="3">
        <v>3963</v>
      </c>
      <c r="B3968" s="3" t="str">
        <f>"201407000116"</f>
        <v>201407000116</v>
      </c>
    </row>
    <row r="3969" spans="1:2" x14ac:dyDescent="0.25">
      <c r="A3969" s="3">
        <v>3964</v>
      </c>
      <c r="B3969" s="3" t="str">
        <f>"201407000241"</f>
        <v>201407000241</v>
      </c>
    </row>
    <row r="3970" spans="1:2" x14ac:dyDescent="0.25">
      <c r="A3970" s="3">
        <v>3965</v>
      </c>
      <c r="B3970" s="3" t="str">
        <f>"201407000257"</f>
        <v>201407000257</v>
      </c>
    </row>
    <row r="3971" spans="1:2" x14ac:dyDescent="0.25">
      <c r="A3971" s="3">
        <v>3966</v>
      </c>
      <c r="B3971" s="3" t="str">
        <f>"201409000254"</f>
        <v>201409000254</v>
      </c>
    </row>
    <row r="3972" spans="1:2" x14ac:dyDescent="0.25">
      <c r="A3972" s="3">
        <v>3967</v>
      </c>
      <c r="B3972" s="3" t="str">
        <f>"201409000725"</f>
        <v>201409000725</v>
      </c>
    </row>
    <row r="3973" spans="1:2" x14ac:dyDescent="0.25">
      <c r="A3973" s="3">
        <v>3968</v>
      </c>
      <c r="B3973" s="3" t="str">
        <f>"201409002540"</f>
        <v>201409002540</v>
      </c>
    </row>
    <row r="3974" spans="1:2" x14ac:dyDescent="0.25">
      <c r="A3974" s="3">
        <v>3969</v>
      </c>
      <c r="B3974" s="3" t="str">
        <f>"201409002803"</f>
        <v>201409002803</v>
      </c>
    </row>
    <row r="3975" spans="1:2" x14ac:dyDescent="0.25">
      <c r="A3975" s="3">
        <v>3970</v>
      </c>
      <c r="B3975" s="3" t="str">
        <f>"201409003709"</f>
        <v>201409003709</v>
      </c>
    </row>
    <row r="3976" spans="1:2" x14ac:dyDescent="0.25">
      <c r="A3976" s="3">
        <v>3971</v>
      </c>
      <c r="B3976" s="3" t="str">
        <f>"201409004383"</f>
        <v>201409004383</v>
      </c>
    </row>
    <row r="3977" spans="1:2" x14ac:dyDescent="0.25">
      <c r="A3977" s="3">
        <v>3972</v>
      </c>
      <c r="B3977" s="3" t="str">
        <f>"201410000404"</f>
        <v>201410000404</v>
      </c>
    </row>
    <row r="3978" spans="1:2" x14ac:dyDescent="0.25">
      <c r="A3978" s="3">
        <v>3973</v>
      </c>
      <c r="B3978" s="3" t="str">
        <f>"201410000556"</f>
        <v>201410000556</v>
      </c>
    </row>
    <row r="3979" spans="1:2" x14ac:dyDescent="0.25">
      <c r="A3979" s="3">
        <v>3974</v>
      </c>
      <c r="B3979" s="3" t="str">
        <f>"201410000719"</f>
        <v>201410000719</v>
      </c>
    </row>
    <row r="3980" spans="1:2" x14ac:dyDescent="0.25">
      <c r="A3980" s="3">
        <v>3975</v>
      </c>
      <c r="B3980" s="3" t="str">
        <f>"201410005460"</f>
        <v>201410005460</v>
      </c>
    </row>
    <row r="3981" spans="1:2" x14ac:dyDescent="0.25">
      <c r="A3981" s="3">
        <v>3976</v>
      </c>
      <c r="B3981" s="3" t="str">
        <f>"201410009086"</f>
        <v>201410009086</v>
      </c>
    </row>
    <row r="3982" spans="1:2" x14ac:dyDescent="0.25">
      <c r="A3982" s="3">
        <v>3977</v>
      </c>
      <c r="B3982" s="3" t="str">
        <f>"201410009947"</f>
        <v>201410009947</v>
      </c>
    </row>
    <row r="3983" spans="1:2" x14ac:dyDescent="0.25">
      <c r="A3983" s="3">
        <v>3978</v>
      </c>
      <c r="B3983" s="3" t="str">
        <f>"201410010092"</f>
        <v>201410010092</v>
      </c>
    </row>
    <row r="3984" spans="1:2" x14ac:dyDescent="0.25">
      <c r="A3984" s="3">
        <v>3979</v>
      </c>
      <c r="B3984" s="3" t="str">
        <f>"201410011324"</f>
        <v>201410011324</v>
      </c>
    </row>
    <row r="3985" spans="1:2" x14ac:dyDescent="0.25">
      <c r="A3985" s="3">
        <v>3980</v>
      </c>
      <c r="B3985" s="3" t="str">
        <f>"201410011741"</f>
        <v>201410011741</v>
      </c>
    </row>
    <row r="3986" spans="1:2" x14ac:dyDescent="0.25">
      <c r="A3986" s="3">
        <v>3981</v>
      </c>
      <c r="B3986" s="3" t="str">
        <f>"201410012149"</f>
        <v>201410012149</v>
      </c>
    </row>
    <row r="3987" spans="1:2" x14ac:dyDescent="0.25">
      <c r="A3987" s="3">
        <v>3982</v>
      </c>
      <c r="B3987" s="3" t="str">
        <f>"201410012428"</f>
        <v>201410012428</v>
      </c>
    </row>
    <row r="3988" spans="1:2" x14ac:dyDescent="0.25">
      <c r="A3988" s="3">
        <v>3983</v>
      </c>
      <c r="B3988" s="3" t="str">
        <f>"201410012528"</f>
        <v>201410012528</v>
      </c>
    </row>
    <row r="3989" spans="1:2" x14ac:dyDescent="0.25">
      <c r="A3989" s="3">
        <v>3984</v>
      </c>
      <c r="B3989" s="3" t="str">
        <f>"201410012532"</f>
        <v>201410012532</v>
      </c>
    </row>
    <row r="3990" spans="1:2" x14ac:dyDescent="0.25">
      <c r="A3990" s="3">
        <v>3985</v>
      </c>
      <c r="B3990" s="3" t="str">
        <f>"201410012536"</f>
        <v>201410012536</v>
      </c>
    </row>
    <row r="3991" spans="1:2" x14ac:dyDescent="0.25">
      <c r="A3991" s="3">
        <v>3986</v>
      </c>
      <c r="B3991" s="3" t="str">
        <f>"201410012792"</f>
        <v>201410012792</v>
      </c>
    </row>
    <row r="3992" spans="1:2" x14ac:dyDescent="0.25">
      <c r="A3992" s="3">
        <v>3987</v>
      </c>
      <c r="B3992" s="3" t="str">
        <f>"201410012795"</f>
        <v>201410012795</v>
      </c>
    </row>
    <row r="3993" spans="1:2" x14ac:dyDescent="0.25">
      <c r="A3993" s="3">
        <v>3988</v>
      </c>
      <c r="B3993" s="3" t="str">
        <f>"201411000032"</f>
        <v>201411000032</v>
      </c>
    </row>
    <row r="3994" spans="1:2" x14ac:dyDescent="0.25">
      <c r="A3994" s="3">
        <v>3989</v>
      </c>
      <c r="B3994" s="3" t="str">
        <f>"201411000231"</f>
        <v>201411000231</v>
      </c>
    </row>
    <row r="3995" spans="1:2" x14ac:dyDescent="0.25">
      <c r="A3995" s="3">
        <v>3990</v>
      </c>
      <c r="B3995" s="3" t="str">
        <f>"201411000332"</f>
        <v>201411000332</v>
      </c>
    </row>
    <row r="3996" spans="1:2" x14ac:dyDescent="0.25">
      <c r="A3996" s="3">
        <v>3991</v>
      </c>
      <c r="B3996" s="3" t="str">
        <f>"201411000381"</f>
        <v>201411000381</v>
      </c>
    </row>
    <row r="3997" spans="1:2" x14ac:dyDescent="0.25">
      <c r="A3997" s="3">
        <v>3992</v>
      </c>
      <c r="B3997" s="3" t="str">
        <f>"201411000448"</f>
        <v>201411000448</v>
      </c>
    </row>
    <row r="3998" spans="1:2" x14ac:dyDescent="0.25">
      <c r="A3998" s="3">
        <v>3993</v>
      </c>
      <c r="B3998" s="3" t="str">
        <f>"201411000679"</f>
        <v>201411000679</v>
      </c>
    </row>
    <row r="3999" spans="1:2" x14ac:dyDescent="0.25">
      <c r="A3999" s="3">
        <v>3994</v>
      </c>
      <c r="B3999" s="3" t="str">
        <f>"201411001028"</f>
        <v>201411001028</v>
      </c>
    </row>
    <row r="4000" spans="1:2" x14ac:dyDescent="0.25">
      <c r="A4000" s="3">
        <v>3995</v>
      </c>
      <c r="B4000" s="3" t="str">
        <f>"201411001136"</f>
        <v>201411001136</v>
      </c>
    </row>
    <row r="4001" spans="1:2" x14ac:dyDescent="0.25">
      <c r="A4001" s="3">
        <v>3996</v>
      </c>
      <c r="B4001" s="3" t="str">
        <f>"201411001171"</f>
        <v>201411001171</v>
      </c>
    </row>
    <row r="4002" spans="1:2" x14ac:dyDescent="0.25">
      <c r="A4002" s="3">
        <v>3997</v>
      </c>
      <c r="B4002" s="3" t="str">
        <f>"201411001269"</f>
        <v>201411001269</v>
      </c>
    </row>
    <row r="4003" spans="1:2" x14ac:dyDescent="0.25">
      <c r="A4003" s="3">
        <v>3998</v>
      </c>
      <c r="B4003" s="3" t="str">
        <f>"201411001273"</f>
        <v>201411001273</v>
      </c>
    </row>
    <row r="4004" spans="1:2" x14ac:dyDescent="0.25">
      <c r="A4004" s="3">
        <v>3999</v>
      </c>
      <c r="B4004" s="3" t="str">
        <f>"201411001514"</f>
        <v>201411001514</v>
      </c>
    </row>
    <row r="4005" spans="1:2" x14ac:dyDescent="0.25">
      <c r="A4005" s="3">
        <v>4000</v>
      </c>
      <c r="B4005" s="3" t="str">
        <f>"201411002403"</f>
        <v>201411002403</v>
      </c>
    </row>
    <row r="4006" spans="1:2" x14ac:dyDescent="0.25">
      <c r="A4006" s="3">
        <v>4001</v>
      </c>
      <c r="B4006" s="3" t="str">
        <f>"201411002672"</f>
        <v>201411002672</v>
      </c>
    </row>
    <row r="4007" spans="1:2" x14ac:dyDescent="0.25">
      <c r="A4007" s="3">
        <v>4002</v>
      </c>
      <c r="B4007" s="3" t="str">
        <f>"201411002864"</f>
        <v>201411002864</v>
      </c>
    </row>
    <row r="4008" spans="1:2" x14ac:dyDescent="0.25">
      <c r="A4008" s="3">
        <v>4003</v>
      </c>
      <c r="B4008" s="3" t="str">
        <f>"201411003025"</f>
        <v>201411003025</v>
      </c>
    </row>
    <row r="4009" spans="1:2" x14ac:dyDescent="0.25">
      <c r="A4009" s="3">
        <v>4004</v>
      </c>
      <c r="B4009" s="3" t="str">
        <f>"201411003032"</f>
        <v>201411003032</v>
      </c>
    </row>
    <row r="4010" spans="1:2" x14ac:dyDescent="0.25">
      <c r="A4010" s="3">
        <v>4005</v>
      </c>
      <c r="B4010" s="3" t="str">
        <f>"201412000114"</f>
        <v>201412000114</v>
      </c>
    </row>
    <row r="4011" spans="1:2" x14ac:dyDescent="0.25">
      <c r="A4011" s="3">
        <v>4006</v>
      </c>
      <c r="B4011" s="3" t="str">
        <f>"201412000759"</f>
        <v>201412000759</v>
      </c>
    </row>
    <row r="4012" spans="1:2" x14ac:dyDescent="0.25">
      <c r="A4012" s="3">
        <v>4007</v>
      </c>
      <c r="B4012" s="3" t="str">
        <f>"201412001679"</f>
        <v>201412001679</v>
      </c>
    </row>
    <row r="4013" spans="1:2" x14ac:dyDescent="0.25">
      <c r="A4013" s="3">
        <v>4008</v>
      </c>
      <c r="B4013" s="3" t="str">
        <f>"201412002049"</f>
        <v>201412002049</v>
      </c>
    </row>
    <row r="4014" spans="1:2" x14ac:dyDescent="0.25">
      <c r="A4014" s="3">
        <v>4009</v>
      </c>
      <c r="B4014" s="3" t="str">
        <f>"201412002123"</f>
        <v>201412002123</v>
      </c>
    </row>
    <row r="4015" spans="1:2" x14ac:dyDescent="0.25">
      <c r="A4015" s="3">
        <v>4010</v>
      </c>
      <c r="B4015" s="3" t="str">
        <f>"201412002295"</f>
        <v>201412002295</v>
      </c>
    </row>
    <row r="4016" spans="1:2" x14ac:dyDescent="0.25">
      <c r="A4016" s="3">
        <v>4011</v>
      </c>
      <c r="B4016" s="3" t="str">
        <f>"201412002785"</f>
        <v>201412002785</v>
      </c>
    </row>
    <row r="4017" spans="1:2" x14ac:dyDescent="0.25">
      <c r="A4017" s="3">
        <v>4012</v>
      </c>
      <c r="B4017" s="3" t="str">
        <f>"201412003009"</f>
        <v>201412003009</v>
      </c>
    </row>
    <row r="4018" spans="1:2" x14ac:dyDescent="0.25">
      <c r="A4018" s="3">
        <v>4013</v>
      </c>
      <c r="B4018" s="3" t="str">
        <f>"201412003414"</f>
        <v>201412003414</v>
      </c>
    </row>
    <row r="4019" spans="1:2" x14ac:dyDescent="0.25">
      <c r="A4019" s="3">
        <v>4014</v>
      </c>
      <c r="B4019" s="3" t="str">
        <f>"201412003503"</f>
        <v>201412003503</v>
      </c>
    </row>
    <row r="4020" spans="1:2" x14ac:dyDescent="0.25">
      <c r="A4020" s="3">
        <v>4015</v>
      </c>
      <c r="B4020" s="3" t="str">
        <f>"201412003527"</f>
        <v>201412003527</v>
      </c>
    </row>
    <row r="4021" spans="1:2" x14ac:dyDescent="0.25">
      <c r="A4021" s="3">
        <v>4016</v>
      </c>
      <c r="B4021" s="3" t="str">
        <f>"201412004341"</f>
        <v>201412004341</v>
      </c>
    </row>
    <row r="4022" spans="1:2" x14ac:dyDescent="0.25">
      <c r="A4022" s="3">
        <v>4017</v>
      </c>
      <c r="B4022" s="3" t="str">
        <f>"201412005210"</f>
        <v>201412005210</v>
      </c>
    </row>
    <row r="4023" spans="1:2" x14ac:dyDescent="0.25">
      <c r="A4023" s="3">
        <v>4018</v>
      </c>
      <c r="B4023" s="3" t="str">
        <f>"201412005396"</f>
        <v>201412005396</v>
      </c>
    </row>
    <row r="4024" spans="1:2" x14ac:dyDescent="0.25">
      <c r="A4024" s="3">
        <v>4019</v>
      </c>
      <c r="B4024" s="3" t="str">
        <f>"201412005438"</f>
        <v>201412005438</v>
      </c>
    </row>
    <row r="4025" spans="1:2" x14ac:dyDescent="0.25">
      <c r="A4025" s="3">
        <v>4020</v>
      </c>
      <c r="B4025" s="3" t="str">
        <f>"201412005546"</f>
        <v>201412005546</v>
      </c>
    </row>
    <row r="4026" spans="1:2" x14ac:dyDescent="0.25">
      <c r="A4026" s="3">
        <v>4021</v>
      </c>
      <c r="B4026" s="3" t="str">
        <f>"201412005646"</f>
        <v>201412005646</v>
      </c>
    </row>
    <row r="4027" spans="1:2" x14ac:dyDescent="0.25">
      <c r="A4027" s="3">
        <v>4022</v>
      </c>
      <c r="B4027" s="3" t="str">
        <f>"201412006577"</f>
        <v>201412006577</v>
      </c>
    </row>
    <row r="4028" spans="1:2" x14ac:dyDescent="0.25">
      <c r="A4028" s="3">
        <v>4023</v>
      </c>
      <c r="B4028" s="3" t="str">
        <f>"201412006721"</f>
        <v>201412006721</v>
      </c>
    </row>
    <row r="4029" spans="1:2" x14ac:dyDescent="0.25">
      <c r="A4029" s="3">
        <v>4024</v>
      </c>
      <c r="B4029" s="3" t="str">
        <f>"201412006996"</f>
        <v>201412006996</v>
      </c>
    </row>
    <row r="4030" spans="1:2" x14ac:dyDescent="0.25">
      <c r="A4030" s="3">
        <v>4025</v>
      </c>
      <c r="B4030" s="3" t="str">
        <f>"201501000347"</f>
        <v>201501000347</v>
      </c>
    </row>
    <row r="4031" spans="1:2" x14ac:dyDescent="0.25">
      <c r="A4031" s="3">
        <v>4026</v>
      </c>
      <c r="B4031" s="3" t="str">
        <f>"201501000503"</f>
        <v>201501000503</v>
      </c>
    </row>
    <row r="4032" spans="1:2" x14ac:dyDescent="0.25">
      <c r="A4032" s="3">
        <v>4027</v>
      </c>
      <c r="B4032" s="3" t="str">
        <f>"201501000524"</f>
        <v>201501000524</v>
      </c>
    </row>
    <row r="4033" spans="1:2" x14ac:dyDescent="0.25">
      <c r="A4033" s="3">
        <v>4028</v>
      </c>
      <c r="B4033" s="3" t="str">
        <f>"201502000210"</f>
        <v>201502000210</v>
      </c>
    </row>
    <row r="4034" spans="1:2" x14ac:dyDescent="0.25">
      <c r="A4034" s="3">
        <v>4029</v>
      </c>
      <c r="B4034" s="3" t="str">
        <f>"201502000503"</f>
        <v>201502000503</v>
      </c>
    </row>
    <row r="4035" spans="1:2" x14ac:dyDescent="0.25">
      <c r="A4035" s="3">
        <v>4030</v>
      </c>
      <c r="B4035" s="3" t="str">
        <f>"201502000520"</f>
        <v>201502000520</v>
      </c>
    </row>
    <row r="4036" spans="1:2" x14ac:dyDescent="0.25">
      <c r="A4036" s="3">
        <v>4031</v>
      </c>
      <c r="B4036" s="3" t="str">
        <f>"201502000945"</f>
        <v>201502000945</v>
      </c>
    </row>
    <row r="4037" spans="1:2" x14ac:dyDescent="0.25">
      <c r="A4037" s="3">
        <v>4032</v>
      </c>
      <c r="B4037" s="3" t="str">
        <f>"201502001134"</f>
        <v>201502001134</v>
      </c>
    </row>
    <row r="4038" spans="1:2" x14ac:dyDescent="0.25">
      <c r="A4038" s="3">
        <v>4033</v>
      </c>
      <c r="B4038" s="3" t="str">
        <f>"201502001633"</f>
        <v>201502001633</v>
      </c>
    </row>
    <row r="4039" spans="1:2" x14ac:dyDescent="0.25">
      <c r="A4039" s="3">
        <v>4034</v>
      </c>
      <c r="B4039" s="3" t="str">
        <f>"201502002152"</f>
        <v>201502002152</v>
      </c>
    </row>
    <row r="4040" spans="1:2" x14ac:dyDescent="0.25">
      <c r="A4040" s="3">
        <v>4035</v>
      </c>
      <c r="B4040" s="3" t="str">
        <f>"201502002484"</f>
        <v>201502002484</v>
      </c>
    </row>
    <row r="4041" spans="1:2" x14ac:dyDescent="0.25">
      <c r="A4041" s="3">
        <v>4036</v>
      </c>
      <c r="B4041" s="3" t="str">
        <f>"201502002533"</f>
        <v>201502002533</v>
      </c>
    </row>
    <row r="4042" spans="1:2" x14ac:dyDescent="0.25">
      <c r="A4042" s="3">
        <v>4037</v>
      </c>
      <c r="B4042" s="3" t="str">
        <f>"201502002914"</f>
        <v>201502002914</v>
      </c>
    </row>
    <row r="4043" spans="1:2" x14ac:dyDescent="0.25">
      <c r="A4043" s="3">
        <v>4038</v>
      </c>
      <c r="B4043" s="3" t="str">
        <f>"201502003951"</f>
        <v>201502003951</v>
      </c>
    </row>
    <row r="4044" spans="1:2" x14ac:dyDescent="0.25">
      <c r="A4044" s="3">
        <v>4039</v>
      </c>
      <c r="B4044" s="3" t="str">
        <f>"201502004038"</f>
        <v>201502004038</v>
      </c>
    </row>
    <row r="4045" spans="1:2" x14ac:dyDescent="0.25">
      <c r="A4045" s="3">
        <v>4040</v>
      </c>
      <c r="B4045" s="3" t="str">
        <f>"201503000204"</f>
        <v>201503000204</v>
      </c>
    </row>
    <row r="4046" spans="1:2" x14ac:dyDescent="0.25">
      <c r="A4046" s="3">
        <v>4041</v>
      </c>
      <c r="B4046" s="3" t="str">
        <f>"201503000227"</f>
        <v>201503000227</v>
      </c>
    </row>
    <row r="4047" spans="1:2" x14ac:dyDescent="0.25">
      <c r="A4047" s="3">
        <v>4042</v>
      </c>
      <c r="B4047" s="3" t="str">
        <f>"201504000105"</f>
        <v>201504000105</v>
      </c>
    </row>
    <row r="4048" spans="1:2" x14ac:dyDescent="0.25">
      <c r="A4048" s="3">
        <v>4043</v>
      </c>
      <c r="B4048" s="3" t="str">
        <f>"201504001846"</f>
        <v>201504001846</v>
      </c>
    </row>
    <row r="4049" spans="1:2" x14ac:dyDescent="0.25">
      <c r="A4049" s="3">
        <v>4044</v>
      </c>
      <c r="B4049" s="3" t="str">
        <f>"201504002018"</f>
        <v>201504002018</v>
      </c>
    </row>
    <row r="4050" spans="1:2" x14ac:dyDescent="0.25">
      <c r="A4050" s="3">
        <v>4045</v>
      </c>
      <c r="B4050" s="3" t="str">
        <f>"201504002725"</f>
        <v>201504002725</v>
      </c>
    </row>
    <row r="4051" spans="1:2" x14ac:dyDescent="0.25">
      <c r="A4051" s="3">
        <v>4046</v>
      </c>
      <c r="B4051" s="3" t="str">
        <f>"201504004168"</f>
        <v>201504004168</v>
      </c>
    </row>
    <row r="4052" spans="1:2" x14ac:dyDescent="0.25">
      <c r="A4052" s="3">
        <v>4047</v>
      </c>
      <c r="B4052" s="3" t="str">
        <f>"201505000021"</f>
        <v>201505000021</v>
      </c>
    </row>
    <row r="4053" spans="1:2" x14ac:dyDescent="0.25">
      <c r="A4053" s="3">
        <v>4048</v>
      </c>
      <c r="B4053" s="3" t="str">
        <f>"201505000407"</f>
        <v>201505000407</v>
      </c>
    </row>
    <row r="4054" spans="1:2" x14ac:dyDescent="0.25">
      <c r="A4054" s="3">
        <v>4049</v>
      </c>
      <c r="B4054" s="3" t="str">
        <f>"201506000230"</f>
        <v>201506000230</v>
      </c>
    </row>
    <row r="4055" spans="1:2" x14ac:dyDescent="0.25">
      <c r="A4055" s="3">
        <v>4050</v>
      </c>
      <c r="B4055" s="3" t="str">
        <f>"201506000678"</f>
        <v>201506000678</v>
      </c>
    </row>
    <row r="4056" spans="1:2" x14ac:dyDescent="0.25">
      <c r="A4056" s="3">
        <v>4051</v>
      </c>
      <c r="B4056" s="3" t="str">
        <f>"201506000712"</f>
        <v>201506000712</v>
      </c>
    </row>
    <row r="4057" spans="1:2" x14ac:dyDescent="0.25">
      <c r="A4057" s="3">
        <v>4052</v>
      </c>
      <c r="B4057" s="3" t="str">
        <f>"201506001001"</f>
        <v>201506001001</v>
      </c>
    </row>
    <row r="4058" spans="1:2" x14ac:dyDescent="0.25">
      <c r="A4058" s="3">
        <v>4053</v>
      </c>
      <c r="B4058" s="3" t="str">
        <f>"201506001802"</f>
        <v>201506001802</v>
      </c>
    </row>
    <row r="4059" spans="1:2" x14ac:dyDescent="0.25">
      <c r="A4059" s="3">
        <v>4054</v>
      </c>
      <c r="B4059" s="3" t="str">
        <f>"201506002562"</f>
        <v>201506002562</v>
      </c>
    </row>
    <row r="4060" spans="1:2" x14ac:dyDescent="0.25">
      <c r="A4060" s="3">
        <v>4055</v>
      </c>
      <c r="B4060" s="3" t="str">
        <f>"201506003055"</f>
        <v>201506003055</v>
      </c>
    </row>
    <row r="4061" spans="1:2" x14ac:dyDescent="0.25">
      <c r="A4061" s="3">
        <v>4056</v>
      </c>
      <c r="B4061" s="3" t="str">
        <f>"201506003404"</f>
        <v>201506003404</v>
      </c>
    </row>
    <row r="4062" spans="1:2" x14ac:dyDescent="0.25">
      <c r="A4062" s="3">
        <v>4057</v>
      </c>
      <c r="B4062" s="3" t="str">
        <f>"201506003880"</f>
        <v>201506003880</v>
      </c>
    </row>
    <row r="4063" spans="1:2" x14ac:dyDescent="0.25">
      <c r="A4063" s="3">
        <v>4058</v>
      </c>
      <c r="B4063" s="3" t="str">
        <f>"201506003968"</f>
        <v>201506003968</v>
      </c>
    </row>
    <row r="4064" spans="1:2" x14ac:dyDescent="0.25">
      <c r="A4064" s="3">
        <v>4059</v>
      </c>
      <c r="B4064" s="3" t="str">
        <f>"201506004240"</f>
        <v>201506004240</v>
      </c>
    </row>
    <row r="4065" spans="1:2" x14ac:dyDescent="0.25">
      <c r="A4065" s="3">
        <v>4060</v>
      </c>
      <c r="B4065" s="3" t="str">
        <f>"201506004370"</f>
        <v>201506004370</v>
      </c>
    </row>
    <row r="4066" spans="1:2" x14ac:dyDescent="0.25">
      <c r="A4066" s="3">
        <v>4061</v>
      </c>
      <c r="B4066" s="3" t="str">
        <f>"201506004546"</f>
        <v>201506004546</v>
      </c>
    </row>
    <row r="4067" spans="1:2" x14ac:dyDescent="0.25">
      <c r="A4067" s="3">
        <v>4062</v>
      </c>
      <c r="B4067" s="3" t="str">
        <f>"201507000039"</f>
        <v>201507000039</v>
      </c>
    </row>
    <row r="4068" spans="1:2" x14ac:dyDescent="0.25">
      <c r="A4068" s="3">
        <v>4063</v>
      </c>
      <c r="B4068" s="3" t="str">
        <f>"201507000213"</f>
        <v>201507000213</v>
      </c>
    </row>
    <row r="4069" spans="1:2" x14ac:dyDescent="0.25">
      <c r="A4069" s="3">
        <v>4064</v>
      </c>
      <c r="B4069" s="3" t="str">
        <f>"201507001250"</f>
        <v>201507001250</v>
      </c>
    </row>
    <row r="4070" spans="1:2" x14ac:dyDescent="0.25">
      <c r="A4070" s="3">
        <v>4065</v>
      </c>
      <c r="B4070" s="3" t="str">
        <f>"201507001574"</f>
        <v>201507001574</v>
      </c>
    </row>
    <row r="4071" spans="1:2" x14ac:dyDescent="0.25">
      <c r="A4071" s="3">
        <v>4066</v>
      </c>
      <c r="B4071" s="3" t="str">
        <f>"201507001901"</f>
        <v>201507001901</v>
      </c>
    </row>
    <row r="4072" spans="1:2" x14ac:dyDescent="0.25">
      <c r="A4072" s="3">
        <v>4067</v>
      </c>
      <c r="B4072" s="3" t="str">
        <f>"201507002016"</f>
        <v>201507002016</v>
      </c>
    </row>
    <row r="4073" spans="1:2" x14ac:dyDescent="0.25">
      <c r="A4073" s="3">
        <v>4068</v>
      </c>
      <c r="B4073" s="3" t="str">
        <f>"201507003353"</f>
        <v>201507003353</v>
      </c>
    </row>
    <row r="4074" spans="1:2" x14ac:dyDescent="0.25">
      <c r="A4074" s="3">
        <v>4069</v>
      </c>
      <c r="B4074" s="3" t="str">
        <f>"201507003404"</f>
        <v>201507003404</v>
      </c>
    </row>
    <row r="4075" spans="1:2" x14ac:dyDescent="0.25">
      <c r="A4075" s="3">
        <v>4070</v>
      </c>
      <c r="B4075" s="3" t="str">
        <f>"201507004275"</f>
        <v>201507004275</v>
      </c>
    </row>
    <row r="4076" spans="1:2" x14ac:dyDescent="0.25">
      <c r="A4076" s="3">
        <v>4071</v>
      </c>
      <c r="B4076" s="3" t="str">
        <f>"201507004416"</f>
        <v>201507004416</v>
      </c>
    </row>
    <row r="4077" spans="1:2" x14ac:dyDescent="0.25">
      <c r="A4077" s="3">
        <v>4072</v>
      </c>
      <c r="B4077" s="3" t="str">
        <f>"201507005010"</f>
        <v>201507005010</v>
      </c>
    </row>
    <row r="4078" spans="1:2" x14ac:dyDescent="0.25">
      <c r="A4078" s="3">
        <v>4073</v>
      </c>
      <c r="B4078" s="3" t="str">
        <f>"201507005258"</f>
        <v>201507005258</v>
      </c>
    </row>
    <row r="4079" spans="1:2" x14ac:dyDescent="0.25">
      <c r="A4079" s="3">
        <v>4074</v>
      </c>
      <c r="B4079" s="3" t="str">
        <f>"201508000065"</f>
        <v>201508000065</v>
      </c>
    </row>
    <row r="4080" spans="1:2" x14ac:dyDescent="0.25">
      <c r="A4080" s="3">
        <v>4075</v>
      </c>
      <c r="B4080" s="3" t="str">
        <f>"201508000083"</f>
        <v>201508000083</v>
      </c>
    </row>
    <row r="4081" spans="1:2" x14ac:dyDescent="0.25">
      <c r="A4081" s="3">
        <v>4076</v>
      </c>
      <c r="B4081" s="3" t="str">
        <f>"201508000182"</f>
        <v>201508000182</v>
      </c>
    </row>
    <row r="4082" spans="1:2" x14ac:dyDescent="0.25">
      <c r="A4082" s="3">
        <v>4077</v>
      </c>
      <c r="B4082" s="3" t="str">
        <f>"201509000214"</f>
        <v>201509000214</v>
      </c>
    </row>
    <row r="4083" spans="1:2" x14ac:dyDescent="0.25">
      <c r="A4083" s="3">
        <v>4078</v>
      </c>
      <c r="B4083" s="3" t="str">
        <f>"201509000215"</f>
        <v>201509000215</v>
      </c>
    </row>
    <row r="4084" spans="1:2" x14ac:dyDescent="0.25">
      <c r="A4084" s="3">
        <v>4079</v>
      </c>
      <c r="B4084" s="3" t="str">
        <f>"201509000265"</f>
        <v>201509000265</v>
      </c>
    </row>
    <row r="4085" spans="1:2" x14ac:dyDescent="0.25">
      <c r="A4085" s="3">
        <v>4080</v>
      </c>
      <c r="B4085" s="3" t="str">
        <f>"201510000054"</f>
        <v>201510000054</v>
      </c>
    </row>
    <row r="4086" spans="1:2" x14ac:dyDescent="0.25">
      <c r="A4086" s="3">
        <v>4081</v>
      </c>
      <c r="B4086" s="3" t="str">
        <f>"201510000087"</f>
        <v>201510000087</v>
      </c>
    </row>
    <row r="4087" spans="1:2" x14ac:dyDescent="0.25">
      <c r="A4087" s="3">
        <v>4082</v>
      </c>
      <c r="B4087" s="3" t="str">
        <f>"201510000232"</f>
        <v>201510000232</v>
      </c>
    </row>
    <row r="4088" spans="1:2" x14ac:dyDescent="0.25">
      <c r="A4088" s="3">
        <v>4083</v>
      </c>
      <c r="B4088" s="3" t="str">
        <f>"201510000308"</f>
        <v>201510000308</v>
      </c>
    </row>
    <row r="4089" spans="1:2" x14ac:dyDescent="0.25">
      <c r="A4089" s="3">
        <v>4084</v>
      </c>
      <c r="B4089" s="3" t="str">
        <f>"201510000657"</f>
        <v>201510000657</v>
      </c>
    </row>
    <row r="4090" spans="1:2" x14ac:dyDescent="0.25">
      <c r="A4090" s="3">
        <v>4085</v>
      </c>
      <c r="B4090" s="3" t="str">
        <f>"201510000717"</f>
        <v>201510000717</v>
      </c>
    </row>
    <row r="4091" spans="1:2" x14ac:dyDescent="0.25">
      <c r="A4091" s="3">
        <v>4086</v>
      </c>
      <c r="B4091" s="3" t="str">
        <f>"201510000727"</f>
        <v>201510000727</v>
      </c>
    </row>
    <row r="4092" spans="1:2" x14ac:dyDescent="0.25">
      <c r="A4092" s="3">
        <v>4087</v>
      </c>
      <c r="B4092" s="3" t="str">
        <f>"201510000838"</f>
        <v>201510000838</v>
      </c>
    </row>
    <row r="4093" spans="1:2" x14ac:dyDescent="0.25">
      <c r="A4093" s="3">
        <v>4088</v>
      </c>
      <c r="B4093" s="3" t="str">
        <f>"201510000841"</f>
        <v>201510000841</v>
      </c>
    </row>
    <row r="4094" spans="1:2" x14ac:dyDescent="0.25">
      <c r="A4094" s="3">
        <v>4089</v>
      </c>
      <c r="B4094" s="3" t="str">
        <f>"201510000854"</f>
        <v>201510000854</v>
      </c>
    </row>
    <row r="4095" spans="1:2" x14ac:dyDescent="0.25">
      <c r="A4095" s="3">
        <v>4090</v>
      </c>
      <c r="B4095" s="3" t="str">
        <f>"201510000882"</f>
        <v>201510000882</v>
      </c>
    </row>
    <row r="4096" spans="1:2" x14ac:dyDescent="0.25">
      <c r="A4096" s="3">
        <v>4091</v>
      </c>
      <c r="B4096" s="3" t="str">
        <f>"201510000924"</f>
        <v>201510000924</v>
      </c>
    </row>
    <row r="4097" spans="1:2" x14ac:dyDescent="0.25">
      <c r="A4097" s="3">
        <v>4092</v>
      </c>
      <c r="B4097" s="3" t="str">
        <f>"201510000978"</f>
        <v>201510000978</v>
      </c>
    </row>
    <row r="4098" spans="1:2" x14ac:dyDescent="0.25">
      <c r="A4098" s="3">
        <v>4093</v>
      </c>
      <c r="B4098" s="3" t="str">
        <f>"201510001071"</f>
        <v>201510001071</v>
      </c>
    </row>
    <row r="4099" spans="1:2" x14ac:dyDescent="0.25">
      <c r="A4099" s="3">
        <v>4094</v>
      </c>
      <c r="B4099" s="3" t="str">
        <f>"201510001143"</f>
        <v>201510001143</v>
      </c>
    </row>
    <row r="4100" spans="1:2" x14ac:dyDescent="0.25">
      <c r="A4100" s="3">
        <v>4095</v>
      </c>
      <c r="B4100" s="3" t="str">
        <f>"201510001161"</f>
        <v>201510001161</v>
      </c>
    </row>
    <row r="4101" spans="1:2" x14ac:dyDescent="0.25">
      <c r="A4101" s="3">
        <v>4096</v>
      </c>
      <c r="B4101" s="3" t="str">
        <f>"201510001326"</f>
        <v>201510001326</v>
      </c>
    </row>
    <row r="4102" spans="1:2" x14ac:dyDescent="0.25">
      <c r="A4102" s="3">
        <v>4097</v>
      </c>
      <c r="B4102" s="3" t="str">
        <f>"201510001406"</f>
        <v>201510001406</v>
      </c>
    </row>
    <row r="4103" spans="1:2" x14ac:dyDescent="0.25">
      <c r="A4103" s="3">
        <v>4098</v>
      </c>
      <c r="B4103" s="3" t="str">
        <f>"201510001457"</f>
        <v>201510001457</v>
      </c>
    </row>
    <row r="4104" spans="1:2" x14ac:dyDescent="0.25">
      <c r="A4104" s="3">
        <v>4099</v>
      </c>
      <c r="B4104" s="3" t="str">
        <f>"201510001514"</f>
        <v>201510001514</v>
      </c>
    </row>
    <row r="4105" spans="1:2" x14ac:dyDescent="0.25">
      <c r="A4105" s="3">
        <v>4100</v>
      </c>
      <c r="B4105" s="3" t="str">
        <f>"201510001642"</f>
        <v>201510001642</v>
      </c>
    </row>
    <row r="4106" spans="1:2" x14ac:dyDescent="0.25">
      <c r="A4106" s="3">
        <v>4101</v>
      </c>
      <c r="B4106" s="3" t="str">
        <f>"201510001671"</f>
        <v>201510001671</v>
      </c>
    </row>
    <row r="4107" spans="1:2" x14ac:dyDescent="0.25">
      <c r="A4107" s="3">
        <v>4102</v>
      </c>
      <c r="B4107" s="3" t="str">
        <f>"201510001685"</f>
        <v>201510001685</v>
      </c>
    </row>
    <row r="4108" spans="1:2" x14ac:dyDescent="0.25">
      <c r="A4108" s="3">
        <v>4103</v>
      </c>
      <c r="B4108" s="3" t="str">
        <f>"201510001788"</f>
        <v>201510001788</v>
      </c>
    </row>
    <row r="4109" spans="1:2" x14ac:dyDescent="0.25">
      <c r="A4109" s="3">
        <v>4104</v>
      </c>
      <c r="B4109" s="3" t="str">
        <f>"201510001880"</f>
        <v>201510001880</v>
      </c>
    </row>
    <row r="4110" spans="1:2" x14ac:dyDescent="0.25">
      <c r="A4110" s="3">
        <v>4105</v>
      </c>
      <c r="B4110" s="3" t="str">
        <f>"201510002136"</f>
        <v>201510002136</v>
      </c>
    </row>
    <row r="4111" spans="1:2" x14ac:dyDescent="0.25">
      <c r="A4111" s="3">
        <v>4106</v>
      </c>
      <c r="B4111" s="3" t="str">
        <f>"201510002161"</f>
        <v>201510002161</v>
      </c>
    </row>
    <row r="4112" spans="1:2" x14ac:dyDescent="0.25">
      <c r="A4112" s="3">
        <v>4107</v>
      </c>
      <c r="B4112" s="3" t="str">
        <f>"201510002204"</f>
        <v>201510002204</v>
      </c>
    </row>
    <row r="4113" spans="1:2" x14ac:dyDescent="0.25">
      <c r="A4113" s="3">
        <v>4108</v>
      </c>
      <c r="B4113" s="3" t="str">
        <f>"201510002305"</f>
        <v>201510002305</v>
      </c>
    </row>
    <row r="4114" spans="1:2" x14ac:dyDescent="0.25">
      <c r="A4114" s="3">
        <v>4109</v>
      </c>
      <c r="B4114" s="3" t="str">
        <f>"201510002318"</f>
        <v>201510002318</v>
      </c>
    </row>
    <row r="4115" spans="1:2" x14ac:dyDescent="0.25">
      <c r="A4115" s="3">
        <v>4110</v>
      </c>
      <c r="B4115" s="3" t="str">
        <f>"201510002319"</f>
        <v>201510002319</v>
      </c>
    </row>
    <row r="4116" spans="1:2" x14ac:dyDescent="0.25">
      <c r="A4116" s="3">
        <v>4111</v>
      </c>
      <c r="B4116" s="3" t="str">
        <f>"201510002327"</f>
        <v>201510002327</v>
      </c>
    </row>
    <row r="4117" spans="1:2" x14ac:dyDescent="0.25">
      <c r="A4117" s="3">
        <v>4112</v>
      </c>
      <c r="B4117" s="3" t="str">
        <f>"201510002340"</f>
        <v>201510002340</v>
      </c>
    </row>
    <row r="4118" spans="1:2" x14ac:dyDescent="0.25">
      <c r="A4118" s="3">
        <v>4113</v>
      </c>
      <c r="B4118" s="3" t="str">
        <f>"201510002523"</f>
        <v>201510002523</v>
      </c>
    </row>
    <row r="4119" spans="1:2" x14ac:dyDescent="0.25">
      <c r="A4119" s="3">
        <v>4114</v>
      </c>
      <c r="B4119" s="3" t="str">
        <f>"201510002531"</f>
        <v>201510002531</v>
      </c>
    </row>
    <row r="4120" spans="1:2" x14ac:dyDescent="0.25">
      <c r="A4120" s="3">
        <v>4115</v>
      </c>
      <c r="B4120" s="3" t="str">
        <f>"201510002542"</f>
        <v>201510002542</v>
      </c>
    </row>
    <row r="4121" spans="1:2" x14ac:dyDescent="0.25">
      <c r="A4121" s="3">
        <v>4116</v>
      </c>
      <c r="B4121" s="3" t="str">
        <f>"201510002553"</f>
        <v>201510002553</v>
      </c>
    </row>
    <row r="4122" spans="1:2" x14ac:dyDescent="0.25">
      <c r="A4122" s="3">
        <v>4117</v>
      </c>
      <c r="B4122" s="3" t="str">
        <f>"201510002624"</f>
        <v>201510002624</v>
      </c>
    </row>
    <row r="4123" spans="1:2" x14ac:dyDescent="0.25">
      <c r="A4123" s="3">
        <v>4118</v>
      </c>
      <c r="B4123" s="3" t="str">
        <f>"201510002632"</f>
        <v>201510002632</v>
      </c>
    </row>
    <row r="4124" spans="1:2" x14ac:dyDescent="0.25">
      <c r="A4124" s="3">
        <v>4119</v>
      </c>
      <c r="B4124" s="3" t="str">
        <f>"201510002657"</f>
        <v>201510002657</v>
      </c>
    </row>
    <row r="4125" spans="1:2" x14ac:dyDescent="0.25">
      <c r="A4125" s="3">
        <v>4120</v>
      </c>
      <c r="B4125" s="3" t="str">
        <f>"201510002804"</f>
        <v>201510002804</v>
      </c>
    </row>
    <row r="4126" spans="1:2" x14ac:dyDescent="0.25">
      <c r="A4126" s="3">
        <v>4121</v>
      </c>
      <c r="B4126" s="3" t="str">
        <f>"201510002821"</f>
        <v>201510002821</v>
      </c>
    </row>
    <row r="4127" spans="1:2" x14ac:dyDescent="0.25">
      <c r="A4127" s="3">
        <v>4122</v>
      </c>
      <c r="B4127" s="3" t="str">
        <f>"201510002906"</f>
        <v>201510002906</v>
      </c>
    </row>
    <row r="4128" spans="1:2" x14ac:dyDescent="0.25">
      <c r="A4128" s="3">
        <v>4123</v>
      </c>
      <c r="B4128" s="3" t="str">
        <f>"201510003078"</f>
        <v>201510003078</v>
      </c>
    </row>
    <row r="4129" spans="1:2" x14ac:dyDescent="0.25">
      <c r="A4129" s="3">
        <v>4124</v>
      </c>
      <c r="B4129" s="3" t="str">
        <f>"201510003136"</f>
        <v>201510003136</v>
      </c>
    </row>
    <row r="4130" spans="1:2" x14ac:dyDescent="0.25">
      <c r="A4130" s="3">
        <v>4125</v>
      </c>
      <c r="B4130" s="3" t="str">
        <f>"201510003142"</f>
        <v>201510003142</v>
      </c>
    </row>
    <row r="4131" spans="1:2" x14ac:dyDescent="0.25">
      <c r="A4131" s="3">
        <v>4126</v>
      </c>
      <c r="B4131" s="3" t="str">
        <f>"201510003215"</f>
        <v>201510003215</v>
      </c>
    </row>
    <row r="4132" spans="1:2" x14ac:dyDescent="0.25">
      <c r="A4132" s="3">
        <v>4127</v>
      </c>
      <c r="B4132" s="3" t="str">
        <f>"201510003245"</f>
        <v>201510003245</v>
      </c>
    </row>
    <row r="4133" spans="1:2" x14ac:dyDescent="0.25">
      <c r="A4133" s="3">
        <v>4128</v>
      </c>
      <c r="B4133" s="3" t="str">
        <f>"201510003303"</f>
        <v>201510003303</v>
      </c>
    </row>
    <row r="4134" spans="1:2" x14ac:dyDescent="0.25">
      <c r="A4134" s="3">
        <v>4129</v>
      </c>
      <c r="B4134" s="3" t="str">
        <f>"201510003375"</f>
        <v>201510003375</v>
      </c>
    </row>
    <row r="4135" spans="1:2" x14ac:dyDescent="0.25">
      <c r="A4135" s="3">
        <v>4130</v>
      </c>
      <c r="B4135" s="3" t="str">
        <f>"201510003384"</f>
        <v>201510003384</v>
      </c>
    </row>
    <row r="4136" spans="1:2" x14ac:dyDescent="0.25">
      <c r="A4136" s="3">
        <v>4131</v>
      </c>
      <c r="B4136" s="3" t="str">
        <f>"201510003527"</f>
        <v>201510003527</v>
      </c>
    </row>
    <row r="4137" spans="1:2" x14ac:dyDescent="0.25">
      <c r="A4137" s="3">
        <v>4132</v>
      </c>
      <c r="B4137" s="3" t="str">
        <f>"201510003550"</f>
        <v>201510003550</v>
      </c>
    </row>
    <row r="4138" spans="1:2" x14ac:dyDescent="0.25">
      <c r="A4138" s="3">
        <v>4133</v>
      </c>
      <c r="B4138" s="3" t="str">
        <f>"201510003645"</f>
        <v>201510003645</v>
      </c>
    </row>
    <row r="4139" spans="1:2" x14ac:dyDescent="0.25">
      <c r="A4139" s="3">
        <v>4134</v>
      </c>
      <c r="B4139" s="3" t="str">
        <f>"201510003649"</f>
        <v>201510003649</v>
      </c>
    </row>
    <row r="4140" spans="1:2" x14ac:dyDescent="0.25">
      <c r="A4140" s="3">
        <v>4135</v>
      </c>
      <c r="B4140" s="3" t="str">
        <f>"201510003650"</f>
        <v>201510003650</v>
      </c>
    </row>
    <row r="4141" spans="1:2" x14ac:dyDescent="0.25">
      <c r="A4141" s="3">
        <v>4136</v>
      </c>
      <c r="B4141" s="3" t="str">
        <f>"201510003668"</f>
        <v>201510003668</v>
      </c>
    </row>
    <row r="4142" spans="1:2" x14ac:dyDescent="0.25">
      <c r="A4142" s="3">
        <v>4137</v>
      </c>
      <c r="B4142" s="3" t="str">
        <f>"201510003676"</f>
        <v>201510003676</v>
      </c>
    </row>
    <row r="4143" spans="1:2" x14ac:dyDescent="0.25">
      <c r="A4143" s="3">
        <v>4138</v>
      </c>
      <c r="B4143" s="3" t="str">
        <f>"201510003697"</f>
        <v>201510003697</v>
      </c>
    </row>
    <row r="4144" spans="1:2" x14ac:dyDescent="0.25">
      <c r="A4144" s="3">
        <v>4139</v>
      </c>
      <c r="B4144" s="3" t="str">
        <f>"201510003728"</f>
        <v>201510003728</v>
      </c>
    </row>
    <row r="4145" spans="1:2" x14ac:dyDescent="0.25">
      <c r="A4145" s="3">
        <v>4140</v>
      </c>
      <c r="B4145" s="3" t="str">
        <f>"201510003760"</f>
        <v>201510003760</v>
      </c>
    </row>
    <row r="4146" spans="1:2" x14ac:dyDescent="0.25">
      <c r="A4146" s="3">
        <v>4141</v>
      </c>
      <c r="B4146" s="3" t="str">
        <f>"201510003803"</f>
        <v>201510003803</v>
      </c>
    </row>
    <row r="4147" spans="1:2" x14ac:dyDescent="0.25">
      <c r="A4147" s="3">
        <v>4142</v>
      </c>
      <c r="B4147" s="3" t="str">
        <f>"201510003962"</f>
        <v>201510003962</v>
      </c>
    </row>
    <row r="4148" spans="1:2" x14ac:dyDescent="0.25">
      <c r="A4148" s="3">
        <v>4143</v>
      </c>
      <c r="B4148" s="3" t="str">
        <f>"201510003963"</f>
        <v>201510003963</v>
      </c>
    </row>
    <row r="4149" spans="1:2" x14ac:dyDescent="0.25">
      <c r="A4149" s="3">
        <v>4144</v>
      </c>
      <c r="B4149" s="3" t="str">
        <f>"201510003980"</f>
        <v>201510003980</v>
      </c>
    </row>
    <row r="4150" spans="1:2" x14ac:dyDescent="0.25">
      <c r="A4150" s="3">
        <v>4145</v>
      </c>
      <c r="B4150" s="3" t="str">
        <f>"201510004026"</f>
        <v>201510004026</v>
      </c>
    </row>
    <row r="4151" spans="1:2" x14ac:dyDescent="0.25">
      <c r="A4151" s="3">
        <v>4146</v>
      </c>
      <c r="B4151" s="3" t="str">
        <f>"201510004103"</f>
        <v>201510004103</v>
      </c>
    </row>
    <row r="4152" spans="1:2" x14ac:dyDescent="0.25">
      <c r="A4152" s="3">
        <v>4147</v>
      </c>
      <c r="B4152" s="3" t="str">
        <f>"201510004137"</f>
        <v>201510004137</v>
      </c>
    </row>
    <row r="4153" spans="1:2" x14ac:dyDescent="0.25">
      <c r="A4153" s="3">
        <v>4148</v>
      </c>
      <c r="B4153" s="3" t="str">
        <f>"201510004193"</f>
        <v>201510004193</v>
      </c>
    </row>
    <row r="4154" spans="1:2" x14ac:dyDescent="0.25">
      <c r="A4154" s="3">
        <v>4149</v>
      </c>
      <c r="B4154" s="3" t="str">
        <f>"201510004200"</f>
        <v>201510004200</v>
      </c>
    </row>
    <row r="4155" spans="1:2" x14ac:dyDescent="0.25">
      <c r="A4155" s="3">
        <v>4150</v>
      </c>
      <c r="B4155" s="3" t="str">
        <f>"201510004220"</f>
        <v>201510004220</v>
      </c>
    </row>
    <row r="4156" spans="1:2" x14ac:dyDescent="0.25">
      <c r="A4156" s="3">
        <v>4151</v>
      </c>
      <c r="B4156" s="3" t="str">
        <f>"201510004222"</f>
        <v>201510004222</v>
      </c>
    </row>
    <row r="4157" spans="1:2" x14ac:dyDescent="0.25">
      <c r="A4157" s="3">
        <v>4152</v>
      </c>
      <c r="B4157" s="3" t="str">
        <f>"201510004238"</f>
        <v>201510004238</v>
      </c>
    </row>
    <row r="4158" spans="1:2" x14ac:dyDescent="0.25">
      <c r="A4158" s="3">
        <v>4153</v>
      </c>
      <c r="B4158" s="3" t="str">
        <f>"201510004295"</f>
        <v>201510004295</v>
      </c>
    </row>
    <row r="4159" spans="1:2" x14ac:dyDescent="0.25">
      <c r="A4159" s="3">
        <v>4154</v>
      </c>
      <c r="B4159" s="3" t="str">
        <f>"201510004389"</f>
        <v>201510004389</v>
      </c>
    </row>
    <row r="4160" spans="1:2" x14ac:dyDescent="0.25">
      <c r="A4160" s="3">
        <v>4155</v>
      </c>
      <c r="B4160" s="3" t="str">
        <f>"201510004399"</f>
        <v>201510004399</v>
      </c>
    </row>
    <row r="4161" spans="1:2" x14ac:dyDescent="0.25">
      <c r="A4161" s="3">
        <v>4156</v>
      </c>
      <c r="B4161" s="3" t="str">
        <f>"201510004441"</f>
        <v>201510004441</v>
      </c>
    </row>
    <row r="4162" spans="1:2" x14ac:dyDescent="0.25">
      <c r="A4162" s="3">
        <v>4157</v>
      </c>
      <c r="B4162" s="3" t="str">
        <f>"201510004463"</f>
        <v>201510004463</v>
      </c>
    </row>
    <row r="4163" spans="1:2" x14ac:dyDescent="0.25">
      <c r="A4163" s="3">
        <v>4158</v>
      </c>
      <c r="B4163" s="3" t="str">
        <f>"201510004529"</f>
        <v>201510004529</v>
      </c>
    </row>
    <row r="4164" spans="1:2" x14ac:dyDescent="0.25">
      <c r="A4164" s="3">
        <v>4159</v>
      </c>
      <c r="B4164" s="3" t="str">
        <f>"201510004532"</f>
        <v>201510004532</v>
      </c>
    </row>
    <row r="4165" spans="1:2" x14ac:dyDescent="0.25">
      <c r="A4165" s="3">
        <v>4160</v>
      </c>
      <c r="B4165" s="3" t="str">
        <f>"201510004562"</f>
        <v>201510004562</v>
      </c>
    </row>
    <row r="4166" spans="1:2" x14ac:dyDescent="0.25">
      <c r="A4166" s="3">
        <v>4161</v>
      </c>
      <c r="B4166" s="3" t="str">
        <f>"201510004584"</f>
        <v>201510004584</v>
      </c>
    </row>
    <row r="4167" spans="1:2" x14ac:dyDescent="0.25">
      <c r="A4167" s="3">
        <v>4162</v>
      </c>
      <c r="B4167" s="3" t="str">
        <f>"201510004625"</f>
        <v>201510004625</v>
      </c>
    </row>
    <row r="4168" spans="1:2" x14ac:dyDescent="0.25">
      <c r="A4168" s="3">
        <v>4163</v>
      </c>
      <c r="B4168" s="3" t="str">
        <f>"201510004631"</f>
        <v>201510004631</v>
      </c>
    </row>
    <row r="4169" spans="1:2" x14ac:dyDescent="0.25">
      <c r="A4169" s="3">
        <v>4164</v>
      </c>
      <c r="B4169" s="3" t="str">
        <f>"201510004639"</f>
        <v>201510004639</v>
      </c>
    </row>
    <row r="4170" spans="1:2" x14ac:dyDescent="0.25">
      <c r="A4170" s="3">
        <v>4165</v>
      </c>
      <c r="B4170" s="3" t="str">
        <f>"201510004681"</f>
        <v>201510004681</v>
      </c>
    </row>
    <row r="4171" spans="1:2" x14ac:dyDescent="0.25">
      <c r="A4171" s="3">
        <v>4166</v>
      </c>
      <c r="B4171" s="3" t="str">
        <f>"201510004725"</f>
        <v>201510004725</v>
      </c>
    </row>
    <row r="4172" spans="1:2" x14ac:dyDescent="0.25">
      <c r="A4172" s="3">
        <v>4167</v>
      </c>
      <c r="B4172" s="3" t="str">
        <f>"201510004732"</f>
        <v>201510004732</v>
      </c>
    </row>
    <row r="4173" spans="1:2" x14ac:dyDescent="0.25">
      <c r="A4173" s="3">
        <v>4168</v>
      </c>
      <c r="B4173" s="3" t="str">
        <f>"201510004733"</f>
        <v>201510004733</v>
      </c>
    </row>
    <row r="4174" spans="1:2" x14ac:dyDescent="0.25">
      <c r="A4174" s="3">
        <v>4169</v>
      </c>
      <c r="B4174" s="3" t="str">
        <f>"201510004754"</f>
        <v>201510004754</v>
      </c>
    </row>
    <row r="4175" spans="1:2" x14ac:dyDescent="0.25">
      <c r="A4175" s="3">
        <v>4170</v>
      </c>
      <c r="B4175" s="3" t="str">
        <f>"201510004767"</f>
        <v>201510004767</v>
      </c>
    </row>
    <row r="4176" spans="1:2" x14ac:dyDescent="0.25">
      <c r="A4176" s="3">
        <v>4171</v>
      </c>
      <c r="B4176" s="3" t="str">
        <f>"201510004781"</f>
        <v>201510004781</v>
      </c>
    </row>
    <row r="4177" spans="1:2" x14ac:dyDescent="0.25">
      <c r="A4177" s="3">
        <v>4172</v>
      </c>
      <c r="B4177" s="3" t="str">
        <f>"201510004838"</f>
        <v>201510004838</v>
      </c>
    </row>
    <row r="4178" spans="1:2" x14ac:dyDescent="0.25">
      <c r="A4178" s="3">
        <v>4173</v>
      </c>
      <c r="B4178" s="3" t="str">
        <f>"201510004850"</f>
        <v>201510004850</v>
      </c>
    </row>
    <row r="4179" spans="1:2" x14ac:dyDescent="0.25">
      <c r="A4179" s="3">
        <v>4174</v>
      </c>
      <c r="B4179" s="3" t="str">
        <f>"201510004890"</f>
        <v>201510004890</v>
      </c>
    </row>
    <row r="4180" spans="1:2" x14ac:dyDescent="0.25">
      <c r="A4180" s="3">
        <v>4175</v>
      </c>
      <c r="B4180" s="3" t="str">
        <f>"201510004935"</f>
        <v>201510004935</v>
      </c>
    </row>
    <row r="4181" spans="1:2" x14ac:dyDescent="0.25">
      <c r="A4181" s="3">
        <v>4176</v>
      </c>
      <c r="B4181" s="3" t="str">
        <f>"201510004944"</f>
        <v>201510004944</v>
      </c>
    </row>
    <row r="4182" spans="1:2" x14ac:dyDescent="0.25">
      <c r="A4182" s="3">
        <v>4177</v>
      </c>
      <c r="B4182" s="3" t="str">
        <f>"201510004945"</f>
        <v>201510004945</v>
      </c>
    </row>
    <row r="4183" spans="1:2" x14ac:dyDescent="0.25">
      <c r="A4183" s="3">
        <v>4178</v>
      </c>
      <c r="B4183" s="3" t="str">
        <f>"201510004953"</f>
        <v>201510004953</v>
      </c>
    </row>
    <row r="4184" spans="1:2" x14ac:dyDescent="0.25">
      <c r="A4184" s="3">
        <v>4179</v>
      </c>
      <c r="B4184" s="3" t="str">
        <f>"201510004960"</f>
        <v>201510004960</v>
      </c>
    </row>
    <row r="4185" spans="1:2" x14ac:dyDescent="0.25">
      <c r="A4185" s="3">
        <v>4180</v>
      </c>
      <c r="B4185" s="3" t="str">
        <f>"201510005013"</f>
        <v>201510005013</v>
      </c>
    </row>
    <row r="4186" spans="1:2" x14ac:dyDescent="0.25">
      <c r="A4186" s="3">
        <v>4181</v>
      </c>
      <c r="B4186" s="3" t="str">
        <f>"201510005040"</f>
        <v>201510005040</v>
      </c>
    </row>
    <row r="4187" spans="1:2" x14ac:dyDescent="0.25">
      <c r="A4187" s="3">
        <v>4182</v>
      </c>
      <c r="B4187" s="3" t="str">
        <f>"201510005056"</f>
        <v>201510005056</v>
      </c>
    </row>
    <row r="4188" spans="1:2" x14ac:dyDescent="0.25">
      <c r="A4188" s="3">
        <v>4183</v>
      </c>
      <c r="B4188" s="3" t="str">
        <f>"201510005062"</f>
        <v>201510005062</v>
      </c>
    </row>
    <row r="4189" spans="1:2" x14ac:dyDescent="0.25">
      <c r="A4189" s="3">
        <v>4184</v>
      </c>
      <c r="B4189" s="3" t="str">
        <f>"201510005105"</f>
        <v>201510005105</v>
      </c>
    </row>
    <row r="4190" spans="1:2" x14ac:dyDescent="0.25">
      <c r="A4190" s="3">
        <v>4185</v>
      </c>
      <c r="B4190" s="3" t="str">
        <f>"201510005144"</f>
        <v>201510005144</v>
      </c>
    </row>
    <row r="4191" spans="1:2" x14ac:dyDescent="0.25">
      <c r="A4191" s="3">
        <v>4186</v>
      </c>
      <c r="B4191" s="3" t="str">
        <f>"201510005147"</f>
        <v>201510005147</v>
      </c>
    </row>
    <row r="4192" spans="1:2" x14ac:dyDescent="0.25">
      <c r="A4192" s="3">
        <v>4187</v>
      </c>
      <c r="B4192" s="3" t="str">
        <f>"201511000029"</f>
        <v>201511000029</v>
      </c>
    </row>
    <row r="4193" spans="1:2" x14ac:dyDescent="0.25">
      <c r="A4193" s="3">
        <v>4188</v>
      </c>
      <c r="B4193" s="3" t="str">
        <f>"201511004411"</f>
        <v>201511004411</v>
      </c>
    </row>
    <row r="4194" spans="1:2" x14ac:dyDescent="0.25">
      <c r="A4194" s="3">
        <v>4189</v>
      </c>
      <c r="B4194" s="3" t="str">
        <f>"201511004552"</f>
        <v>201511004552</v>
      </c>
    </row>
    <row r="4195" spans="1:2" x14ac:dyDescent="0.25">
      <c r="A4195" s="3">
        <v>4190</v>
      </c>
      <c r="B4195" s="3" t="str">
        <f>"201511004580"</f>
        <v>201511004580</v>
      </c>
    </row>
    <row r="4196" spans="1:2" x14ac:dyDescent="0.25">
      <c r="A4196" s="3">
        <v>4191</v>
      </c>
      <c r="B4196" s="3" t="str">
        <f>"201511004650"</f>
        <v>201511004650</v>
      </c>
    </row>
    <row r="4197" spans="1:2" x14ac:dyDescent="0.25">
      <c r="A4197" s="3">
        <v>4192</v>
      </c>
      <c r="B4197" s="3" t="str">
        <f>"201511004668"</f>
        <v>201511004668</v>
      </c>
    </row>
    <row r="4198" spans="1:2" x14ac:dyDescent="0.25">
      <c r="A4198" s="3">
        <v>4193</v>
      </c>
      <c r="B4198" s="3" t="str">
        <f>"201511004761"</f>
        <v>201511004761</v>
      </c>
    </row>
    <row r="4199" spans="1:2" x14ac:dyDescent="0.25">
      <c r="A4199" s="3">
        <v>4194</v>
      </c>
      <c r="B4199" s="3" t="str">
        <f>"201511004804"</f>
        <v>201511004804</v>
      </c>
    </row>
    <row r="4200" spans="1:2" x14ac:dyDescent="0.25">
      <c r="A4200" s="3">
        <v>4195</v>
      </c>
      <c r="B4200" s="3" t="str">
        <f>"201511004808"</f>
        <v>201511004808</v>
      </c>
    </row>
    <row r="4201" spans="1:2" x14ac:dyDescent="0.25">
      <c r="A4201" s="3">
        <v>4196</v>
      </c>
      <c r="B4201" s="3" t="str">
        <f>"201511004816"</f>
        <v>201511004816</v>
      </c>
    </row>
    <row r="4202" spans="1:2" x14ac:dyDescent="0.25">
      <c r="A4202" s="3">
        <v>4197</v>
      </c>
      <c r="B4202" s="3" t="str">
        <f>"201511004894"</f>
        <v>201511004894</v>
      </c>
    </row>
    <row r="4203" spans="1:2" x14ac:dyDescent="0.25">
      <c r="A4203" s="3">
        <v>4198</v>
      </c>
      <c r="B4203" s="3" t="str">
        <f>"201511004928"</f>
        <v>201511004928</v>
      </c>
    </row>
    <row r="4204" spans="1:2" x14ac:dyDescent="0.25">
      <c r="A4204" s="3">
        <v>4199</v>
      </c>
      <c r="B4204" s="3" t="str">
        <f>"201511004975"</f>
        <v>201511004975</v>
      </c>
    </row>
    <row r="4205" spans="1:2" x14ac:dyDescent="0.25">
      <c r="A4205" s="3">
        <v>4200</v>
      </c>
      <c r="B4205" s="3" t="str">
        <f>"201511005030"</f>
        <v>201511005030</v>
      </c>
    </row>
    <row r="4206" spans="1:2" x14ac:dyDescent="0.25">
      <c r="A4206" s="3">
        <v>4201</v>
      </c>
      <c r="B4206" s="3" t="str">
        <f>"201511005041"</f>
        <v>201511005041</v>
      </c>
    </row>
    <row r="4207" spans="1:2" x14ac:dyDescent="0.25">
      <c r="A4207" s="3">
        <v>4202</v>
      </c>
      <c r="B4207" s="3" t="str">
        <f>"201511005131"</f>
        <v>201511005131</v>
      </c>
    </row>
    <row r="4208" spans="1:2" x14ac:dyDescent="0.25">
      <c r="A4208" s="3">
        <v>4203</v>
      </c>
      <c r="B4208" s="3" t="str">
        <f>"201511005132"</f>
        <v>201511005132</v>
      </c>
    </row>
    <row r="4209" spans="1:2" x14ac:dyDescent="0.25">
      <c r="A4209" s="3">
        <v>4204</v>
      </c>
      <c r="B4209" s="3" t="str">
        <f>"201511005147"</f>
        <v>201511005147</v>
      </c>
    </row>
    <row r="4210" spans="1:2" x14ac:dyDescent="0.25">
      <c r="A4210" s="3">
        <v>4205</v>
      </c>
      <c r="B4210" s="3" t="str">
        <f>"201511005241"</f>
        <v>201511005241</v>
      </c>
    </row>
    <row r="4211" spans="1:2" x14ac:dyDescent="0.25">
      <c r="A4211" s="3">
        <v>4206</v>
      </c>
      <c r="B4211" s="3" t="str">
        <f>"201511005374"</f>
        <v>201511005374</v>
      </c>
    </row>
    <row r="4212" spans="1:2" x14ac:dyDescent="0.25">
      <c r="A4212" s="3">
        <v>4207</v>
      </c>
      <c r="B4212" s="3" t="str">
        <f>"201511005425"</f>
        <v>201511005425</v>
      </c>
    </row>
    <row r="4213" spans="1:2" x14ac:dyDescent="0.25">
      <c r="A4213" s="3">
        <v>4208</v>
      </c>
      <c r="B4213" s="3" t="str">
        <f>"201511005473"</f>
        <v>201511005473</v>
      </c>
    </row>
    <row r="4214" spans="1:2" x14ac:dyDescent="0.25">
      <c r="A4214" s="3">
        <v>4209</v>
      </c>
      <c r="B4214" s="3" t="str">
        <f>"201511005493"</f>
        <v>201511005493</v>
      </c>
    </row>
    <row r="4215" spans="1:2" x14ac:dyDescent="0.25">
      <c r="A4215" s="3">
        <v>4210</v>
      </c>
      <c r="B4215" s="3" t="str">
        <f>"201511005621"</f>
        <v>201511005621</v>
      </c>
    </row>
    <row r="4216" spans="1:2" x14ac:dyDescent="0.25">
      <c r="A4216" s="3">
        <v>4211</v>
      </c>
      <c r="B4216" s="3" t="str">
        <f>"201511005683"</f>
        <v>201511005683</v>
      </c>
    </row>
    <row r="4217" spans="1:2" x14ac:dyDescent="0.25">
      <c r="A4217" s="3">
        <v>4212</v>
      </c>
      <c r="B4217" s="3" t="str">
        <f>"201511005700"</f>
        <v>201511005700</v>
      </c>
    </row>
    <row r="4218" spans="1:2" x14ac:dyDescent="0.25">
      <c r="A4218" s="3">
        <v>4213</v>
      </c>
      <c r="B4218" s="3" t="str">
        <f>"201511005704"</f>
        <v>201511005704</v>
      </c>
    </row>
    <row r="4219" spans="1:2" x14ac:dyDescent="0.25">
      <c r="A4219" s="3">
        <v>4214</v>
      </c>
      <c r="B4219" s="3" t="str">
        <f>"201511005751"</f>
        <v>201511005751</v>
      </c>
    </row>
    <row r="4220" spans="1:2" x14ac:dyDescent="0.25">
      <c r="A4220" s="3">
        <v>4215</v>
      </c>
      <c r="B4220" s="3" t="str">
        <f>"201511005775"</f>
        <v>201511005775</v>
      </c>
    </row>
    <row r="4221" spans="1:2" x14ac:dyDescent="0.25">
      <c r="A4221" s="3">
        <v>4216</v>
      </c>
      <c r="B4221" s="3" t="str">
        <f>"201511005900"</f>
        <v>201511005900</v>
      </c>
    </row>
    <row r="4222" spans="1:2" x14ac:dyDescent="0.25">
      <c r="A4222" s="3">
        <v>4217</v>
      </c>
      <c r="B4222" s="3" t="str">
        <f>"201511005946"</f>
        <v>201511005946</v>
      </c>
    </row>
    <row r="4223" spans="1:2" x14ac:dyDescent="0.25">
      <c r="A4223" s="3">
        <v>4218</v>
      </c>
      <c r="B4223" s="3" t="str">
        <f>"201511005977"</f>
        <v>201511005977</v>
      </c>
    </row>
    <row r="4224" spans="1:2" x14ac:dyDescent="0.25">
      <c r="A4224" s="3">
        <v>4219</v>
      </c>
      <c r="B4224" s="3" t="str">
        <f>"201511006016"</f>
        <v>201511006016</v>
      </c>
    </row>
    <row r="4225" spans="1:2" x14ac:dyDescent="0.25">
      <c r="A4225" s="3">
        <v>4220</v>
      </c>
      <c r="B4225" s="3" t="str">
        <f>"201511006036"</f>
        <v>201511006036</v>
      </c>
    </row>
    <row r="4226" spans="1:2" x14ac:dyDescent="0.25">
      <c r="A4226" s="3">
        <v>4221</v>
      </c>
      <c r="B4226" s="3" t="str">
        <f>"201511006079"</f>
        <v>201511006079</v>
      </c>
    </row>
    <row r="4227" spans="1:2" x14ac:dyDescent="0.25">
      <c r="A4227" s="3">
        <v>4222</v>
      </c>
      <c r="B4227" s="3" t="str">
        <f>"201511006176"</f>
        <v>201511006176</v>
      </c>
    </row>
    <row r="4228" spans="1:2" x14ac:dyDescent="0.25">
      <c r="A4228" s="3">
        <v>4223</v>
      </c>
      <c r="B4228" s="3" t="str">
        <f>"201511006232"</f>
        <v>201511006232</v>
      </c>
    </row>
    <row r="4229" spans="1:2" x14ac:dyDescent="0.25">
      <c r="A4229" s="3">
        <v>4224</v>
      </c>
      <c r="B4229" s="3" t="str">
        <f>"201511006304"</f>
        <v>201511006304</v>
      </c>
    </row>
    <row r="4230" spans="1:2" x14ac:dyDescent="0.25">
      <c r="A4230" s="3">
        <v>4225</v>
      </c>
      <c r="B4230" s="3" t="str">
        <f>"201511006376"</f>
        <v>201511006376</v>
      </c>
    </row>
    <row r="4231" spans="1:2" x14ac:dyDescent="0.25">
      <c r="A4231" s="3">
        <v>4226</v>
      </c>
      <c r="B4231" s="3" t="str">
        <f>"201511006414"</f>
        <v>201511006414</v>
      </c>
    </row>
    <row r="4232" spans="1:2" x14ac:dyDescent="0.25">
      <c r="A4232" s="3">
        <v>4227</v>
      </c>
      <c r="B4232" s="3" t="str">
        <f>"201511006496"</f>
        <v>201511006496</v>
      </c>
    </row>
    <row r="4233" spans="1:2" x14ac:dyDescent="0.25">
      <c r="A4233" s="3">
        <v>4228</v>
      </c>
      <c r="B4233" s="3" t="str">
        <f>"201511006579"</f>
        <v>201511006579</v>
      </c>
    </row>
    <row r="4234" spans="1:2" x14ac:dyDescent="0.25">
      <c r="A4234" s="3">
        <v>4229</v>
      </c>
      <c r="B4234" s="3" t="str">
        <f>"201511006587"</f>
        <v>201511006587</v>
      </c>
    </row>
    <row r="4235" spans="1:2" x14ac:dyDescent="0.25">
      <c r="A4235" s="3">
        <v>4230</v>
      </c>
      <c r="B4235" s="3" t="str">
        <f>"201511006655"</f>
        <v>201511006655</v>
      </c>
    </row>
    <row r="4236" spans="1:2" x14ac:dyDescent="0.25">
      <c r="A4236" s="3">
        <v>4231</v>
      </c>
      <c r="B4236" s="3" t="str">
        <f>"201511006703"</f>
        <v>201511006703</v>
      </c>
    </row>
    <row r="4237" spans="1:2" x14ac:dyDescent="0.25">
      <c r="A4237" s="3">
        <v>4232</v>
      </c>
      <c r="B4237" s="3" t="str">
        <f>"201511006817"</f>
        <v>201511006817</v>
      </c>
    </row>
    <row r="4238" spans="1:2" x14ac:dyDescent="0.25">
      <c r="A4238" s="3">
        <v>4233</v>
      </c>
      <c r="B4238" s="3" t="str">
        <f>"201511006938"</f>
        <v>201511006938</v>
      </c>
    </row>
    <row r="4239" spans="1:2" x14ac:dyDescent="0.25">
      <c r="A4239" s="3">
        <v>4234</v>
      </c>
      <c r="B4239" s="3" t="str">
        <f>"201511006963"</f>
        <v>201511006963</v>
      </c>
    </row>
    <row r="4240" spans="1:2" x14ac:dyDescent="0.25">
      <c r="A4240" s="3">
        <v>4235</v>
      </c>
      <c r="B4240" s="3" t="str">
        <f>"201511007013"</f>
        <v>201511007013</v>
      </c>
    </row>
    <row r="4241" spans="1:2" x14ac:dyDescent="0.25">
      <c r="A4241" s="3">
        <v>4236</v>
      </c>
      <c r="B4241" s="3" t="str">
        <f>"201511007044"</f>
        <v>201511007044</v>
      </c>
    </row>
    <row r="4242" spans="1:2" x14ac:dyDescent="0.25">
      <c r="A4242" s="3">
        <v>4237</v>
      </c>
      <c r="B4242" s="3" t="str">
        <f>"201511007086"</f>
        <v>201511007086</v>
      </c>
    </row>
    <row r="4243" spans="1:2" x14ac:dyDescent="0.25">
      <c r="A4243" s="3">
        <v>4238</v>
      </c>
      <c r="B4243" s="3" t="str">
        <f>"201511007117"</f>
        <v>201511007117</v>
      </c>
    </row>
    <row r="4244" spans="1:2" x14ac:dyDescent="0.25">
      <c r="A4244" s="3">
        <v>4239</v>
      </c>
      <c r="B4244" s="3" t="str">
        <f>"201511007147"</f>
        <v>201511007147</v>
      </c>
    </row>
    <row r="4245" spans="1:2" x14ac:dyDescent="0.25">
      <c r="A4245" s="3">
        <v>4240</v>
      </c>
      <c r="B4245" s="3" t="str">
        <f>"201511007193"</f>
        <v>201511007193</v>
      </c>
    </row>
    <row r="4246" spans="1:2" x14ac:dyDescent="0.25">
      <c r="A4246" s="3">
        <v>4241</v>
      </c>
      <c r="B4246" s="3" t="str">
        <f>"201511007222"</f>
        <v>201511007222</v>
      </c>
    </row>
    <row r="4247" spans="1:2" x14ac:dyDescent="0.25">
      <c r="A4247" s="3">
        <v>4242</v>
      </c>
      <c r="B4247" s="3" t="str">
        <f>"201511007327"</f>
        <v>201511007327</v>
      </c>
    </row>
    <row r="4248" spans="1:2" x14ac:dyDescent="0.25">
      <c r="A4248" s="3">
        <v>4243</v>
      </c>
      <c r="B4248" s="3" t="str">
        <f>"201511007485"</f>
        <v>201511007485</v>
      </c>
    </row>
    <row r="4249" spans="1:2" x14ac:dyDescent="0.25">
      <c r="A4249" s="3">
        <v>4244</v>
      </c>
      <c r="B4249" s="3" t="str">
        <f>"201511007504"</f>
        <v>201511007504</v>
      </c>
    </row>
    <row r="4250" spans="1:2" x14ac:dyDescent="0.25">
      <c r="A4250" s="3">
        <v>4245</v>
      </c>
      <c r="B4250" s="3" t="str">
        <f>"201511007560"</f>
        <v>201511007560</v>
      </c>
    </row>
    <row r="4251" spans="1:2" x14ac:dyDescent="0.25">
      <c r="A4251" s="3">
        <v>4246</v>
      </c>
      <c r="B4251" s="3" t="str">
        <f>"201511007574"</f>
        <v>201511007574</v>
      </c>
    </row>
    <row r="4252" spans="1:2" x14ac:dyDescent="0.25">
      <c r="A4252" s="3">
        <v>4247</v>
      </c>
      <c r="B4252" s="3" t="str">
        <f>"201511007638"</f>
        <v>201511007638</v>
      </c>
    </row>
    <row r="4253" spans="1:2" x14ac:dyDescent="0.25">
      <c r="A4253" s="3">
        <v>4248</v>
      </c>
      <c r="B4253" s="3" t="str">
        <f>"201511007666"</f>
        <v>201511007666</v>
      </c>
    </row>
    <row r="4254" spans="1:2" x14ac:dyDescent="0.25">
      <c r="A4254" s="3">
        <v>4249</v>
      </c>
      <c r="B4254" s="3" t="str">
        <f>"201511007674"</f>
        <v>201511007674</v>
      </c>
    </row>
    <row r="4255" spans="1:2" x14ac:dyDescent="0.25">
      <c r="A4255" s="3">
        <v>4250</v>
      </c>
      <c r="B4255" s="3" t="str">
        <f>"201511007680"</f>
        <v>201511007680</v>
      </c>
    </row>
    <row r="4256" spans="1:2" x14ac:dyDescent="0.25">
      <c r="A4256" s="3">
        <v>4251</v>
      </c>
      <c r="B4256" s="3" t="str">
        <f>"201511007810"</f>
        <v>201511007810</v>
      </c>
    </row>
    <row r="4257" spans="1:2" x14ac:dyDescent="0.25">
      <c r="A4257" s="3">
        <v>4252</v>
      </c>
      <c r="B4257" s="3" t="str">
        <f>"201511007853"</f>
        <v>201511007853</v>
      </c>
    </row>
    <row r="4258" spans="1:2" x14ac:dyDescent="0.25">
      <c r="A4258" s="3">
        <v>4253</v>
      </c>
      <c r="B4258" s="3" t="str">
        <f>"201511007881"</f>
        <v>201511007881</v>
      </c>
    </row>
    <row r="4259" spans="1:2" x14ac:dyDescent="0.25">
      <c r="A4259" s="3">
        <v>4254</v>
      </c>
      <c r="B4259" s="3" t="str">
        <f>"201511007893"</f>
        <v>201511007893</v>
      </c>
    </row>
    <row r="4260" spans="1:2" x14ac:dyDescent="0.25">
      <c r="A4260" s="3">
        <v>4255</v>
      </c>
      <c r="B4260" s="3" t="str">
        <f>"201511007990"</f>
        <v>201511007990</v>
      </c>
    </row>
    <row r="4261" spans="1:2" x14ac:dyDescent="0.25">
      <c r="A4261" s="3">
        <v>4256</v>
      </c>
      <c r="B4261" s="3" t="str">
        <f>"201511008046"</f>
        <v>201511008046</v>
      </c>
    </row>
    <row r="4262" spans="1:2" x14ac:dyDescent="0.25">
      <c r="A4262" s="3">
        <v>4257</v>
      </c>
      <c r="B4262" s="3" t="str">
        <f>"201511008156"</f>
        <v>201511008156</v>
      </c>
    </row>
    <row r="4263" spans="1:2" x14ac:dyDescent="0.25">
      <c r="A4263" s="3">
        <v>4258</v>
      </c>
      <c r="B4263" s="3" t="str">
        <f>"201511008163"</f>
        <v>201511008163</v>
      </c>
    </row>
    <row r="4264" spans="1:2" x14ac:dyDescent="0.25">
      <c r="A4264" s="3">
        <v>4259</v>
      </c>
      <c r="B4264" s="3" t="str">
        <f>"201511008386"</f>
        <v>201511008386</v>
      </c>
    </row>
    <row r="4265" spans="1:2" x14ac:dyDescent="0.25">
      <c r="A4265" s="3">
        <v>4260</v>
      </c>
      <c r="B4265" s="3" t="str">
        <f>"201511008421"</f>
        <v>201511008421</v>
      </c>
    </row>
    <row r="4266" spans="1:2" x14ac:dyDescent="0.25">
      <c r="A4266" s="3">
        <v>4261</v>
      </c>
      <c r="B4266" s="3" t="str">
        <f>"201511008434"</f>
        <v>201511008434</v>
      </c>
    </row>
    <row r="4267" spans="1:2" x14ac:dyDescent="0.25">
      <c r="A4267" s="3">
        <v>4262</v>
      </c>
      <c r="B4267" s="3" t="str">
        <f>"201511008438"</f>
        <v>201511008438</v>
      </c>
    </row>
    <row r="4268" spans="1:2" x14ac:dyDescent="0.25">
      <c r="A4268" s="3">
        <v>4263</v>
      </c>
      <c r="B4268" s="3" t="str">
        <f>"201511008474"</f>
        <v>201511008474</v>
      </c>
    </row>
    <row r="4269" spans="1:2" x14ac:dyDescent="0.25">
      <c r="A4269" s="3">
        <v>4264</v>
      </c>
      <c r="B4269" s="3" t="str">
        <f>"201511008501"</f>
        <v>201511008501</v>
      </c>
    </row>
    <row r="4270" spans="1:2" x14ac:dyDescent="0.25">
      <c r="A4270" s="3">
        <v>4265</v>
      </c>
      <c r="B4270" s="3" t="str">
        <f>"201511008504"</f>
        <v>201511008504</v>
      </c>
    </row>
    <row r="4271" spans="1:2" x14ac:dyDescent="0.25">
      <c r="A4271" s="3">
        <v>4266</v>
      </c>
      <c r="B4271" s="3" t="str">
        <f>"201511008756"</f>
        <v>201511008756</v>
      </c>
    </row>
    <row r="4272" spans="1:2" x14ac:dyDescent="0.25">
      <c r="A4272" s="3">
        <v>4267</v>
      </c>
      <c r="B4272" s="3" t="str">
        <f>"201511008793"</f>
        <v>201511008793</v>
      </c>
    </row>
    <row r="4273" spans="1:2" x14ac:dyDescent="0.25">
      <c r="A4273" s="3">
        <v>4268</v>
      </c>
      <c r="B4273" s="3" t="str">
        <f>"201511008881"</f>
        <v>201511008881</v>
      </c>
    </row>
    <row r="4274" spans="1:2" x14ac:dyDescent="0.25">
      <c r="A4274" s="3">
        <v>4269</v>
      </c>
      <c r="B4274" s="3" t="str">
        <f>"201511008924"</f>
        <v>201511008924</v>
      </c>
    </row>
    <row r="4275" spans="1:2" x14ac:dyDescent="0.25">
      <c r="A4275" s="3">
        <v>4270</v>
      </c>
      <c r="B4275" s="3" t="str">
        <f>"201511009021"</f>
        <v>201511009021</v>
      </c>
    </row>
    <row r="4276" spans="1:2" x14ac:dyDescent="0.25">
      <c r="A4276" s="3">
        <v>4271</v>
      </c>
      <c r="B4276" s="3" t="str">
        <f>"201511009037"</f>
        <v>201511009037</v>
      </c>
    </row>
    <row r="4277" spans="1:2" x14ac:dyDescent="0.25">
      <c r="A4277" s="3">
        <v>4272</v>
      </c>
      <c r="B4277" s="3" t="str">
        <f>"201511009162"</f>
        <v>201511009162</v>
      </c>
    </row>
    <row r="4278" spans="1:2" x14ac:dyDescent="0.25">
      <c r="A4278" s="3">
        <v>4273</v>
      </c>
      <c r="B4278" s="3" t="str">
        <f>"201511009198"</f>
        <v>201511009198</v>
      </c>
    </row>
    <row r="4279" spans="1:2" x14ac:dyDescent="0.25">
      <c r="A4279" s="3">
        <v>4274</v>
      </c>
      <c r="B4279" s="3" t="str">
        <f>"201511009244"</f>
        <v>201511009244</v>
      </c>
    </row>
    <row r="4280" spans="1:2" x14ac:dyDescent="0.25">
      <c r="A4280" s="3">
        <v>4275</v>
      </c>
      <c r="B4280" s="3" t="str">
        <f>"201511009271"</f>
        <v>201511009271</v>
      </c>
    </row>
    <row r="4281" spans="1:2" x14ac:dyDescent="0.25">
      <c r="A4281" s="3">
        <v>4276</v>
      </c>
      <c r="B4281" s="3" t="str">
        <f>"201511009339"</f>
        <v>201511009339</v>
      </c>
    </row>
    <row r="4282" spans="1:2" x14ac:dyDescent="0.25">
      <c r="A4282" s="3">
        <v>4277</v>
      </c>
      <c r="B4282" s="3" t="str">
        <f>"201511009388"</f>
        <v>201511009388</v>
      </c>
    </row>
    <row r="4283" spans="1:2" x14ac:dyDescent="0.25">
      <c r="A4283" s="3">
        <v>4278</v>
      </c>
      <c r="B4283" s="3" t="str">
        <f>"201511009413"</f>
        <v>201511009413</v>
      </c>
    </row>
    <row r="4284" spans="1:2" x14ac:dyDescent="0.25">
      <c r="A4284" s="3">
        <v>4279</v>
      </c>
      <c r="B4284" s="3" t="str">
        <f>"201511009491"</f>
        <v>201511009491</v>
      </c>
    </row>
    <row r="4285" spans="1:2" x14ac:dyDescent="0.25">
      <c r="A4285" s="3">
        <v>4280</v>
      </c>
      <c r="B4285" s="3" t="str">
        <f>"201511009496"</f>
        <v>201511009496</v>
      </c>
    </row>
    <row r="4286" spans="1:2" x14ac:dyDescent="0.25">
      <c r="A4286" s="3">
        <v>4281</v>
      </c>
      <c r="B4286" s="3" t="str">
        <f>"201511009570"</f>
        <v>201511009570</v>
      </c>
    </row>
    <row r="4287" spans="1:2" x14ac:dyDescent="0.25">
      <c r="A4287" s="3">
        <v>4282</v>
      </c>
      <c r="B4287" s="3" t="str">
        <f>"201511009596"</f>
        <v>201511009596</v>
      </c>
    </row>
    <row r="4288" spans="1:2" x14ac:dyDescent="0.25">
      <c r="A4288" s="3">
        <v>4283</v>
      </c>
      <c r="B4288" s="3" t="str">
        <f>"201511009777"</f>
        <v>201511009777</v>
      </c>
    </row>
    <row r="4289" spans="1:2" x14ac:dyDescent="0.25">
      <c r="A4289" s="3">
        <v>4284</v>
      </c>
      <c r="B4289" s="3" t="str">
        <f>"201511009781"</f>
        <v>201511009781</v>
      </c>
    </row>
    <row r="4290" spans="1:2" x14ac:dyDescent="0.25">
      <c r="A4290" s="3">
        <v>4285</v>
      </c>
      <c r="B4290" s="3" t="str">
        <f>"201511009830"</f>
        <v>201511009830</v>
      </c>
    </row>
    <row r="4291" spans="1:2" x14ac:dyDescent="0.25">
      <c r="A4291" s="3">
        <v>4286</v>
      </c>
      <c r="B4291" s="3" t="str">
        <f>"201511009922"</f>
        <v>201511009922</v>
      </c>
    </row>
    <row r="4292" spans="1:2" x14ac:dyDescent="0.25">
      <c r="A4292" s="3">
        <v>4287</v>
      </c>
      <c r="B4292" s="3" t="str">
        <f>"201511009950"</f>
        <v>201511009950</v>
      </c>
    </row>
    <row r="4293" spans="1:2" x14ac:dyDescent="0.25">
      <c r="A4293" s="3">
        <v>4288</v>
      </c>
      <c r="B4293" s="3" t="str">
        <f>"201511009988"</f>
        <v>201511009988</v>
      </c>
    </row>
    <row r="4294" spans="1:2" x14ac:dyDescent="0.25">
      <c r="A4294" s="3">
        <v>4289</v>
      </c>
      <c r="B4294" s="3" t="str">
        <f>"201511010042"</f>
        <v>201511010042</v>
      </c>
    </row>
    <row r="4295" spans="1:2" x14ac:dyDescent="0.25">
      <c r="A4295" s="3">
        <v>4290</v>
      </c>
      <c r="B4295" s="3" t="str">
        <f>"201511010066"</f>
        <v>201511010066</v>
      </c>
    </row>
    <row r="4296" spans="1:2" x14ac:dyDescent="0.25">
      <c r="A4296" s="3">
        <v>4291</v>
      </c>
      <c r="B4296" s="3" t="str">
        <f>"201511010174"</f>
        <v>201511010174</v>
      </c>
    </row>
    <row r="4297" spans="1:2" x14ac:dyDescent="0.25">
      <c r="A4297" s="3">
        <v>4292</v>
      </c>
      <c r="B4297" s="3" t="str">
        <f>"201511010198"</f>
        <v>201511010198</v>
      </c>
    </row>
    <row r="4298" spans="1:2" x14ac:dyDescent="0.25">
      <c r="A4298" s="3">
        <v>4293</v>
      </c>
      <c r="B4298" s="3" t="str">
        <f>"201511010205"</f>
        <v>201511010205</v>
      </c>
    </row>
    <row r="4299" spans="1:2" x14ac:dyDescent="0.25">
      <c r="A4299" s="3">
        <v>4294</v>
      </c>
      <c r="B4299" s="3" t="str">
        <f>"201511010225"</f>
        <v>201511010225</v>
      </c>
    </row>
    <row r="4300" spans="1:2" x14ac:dyDescent="0.25">
      <c r="A4300" s="3">
        <v>4295</v>
      </c>
      <c r="B4300" s="3" t="str">
        <f>"201511010227"</f>
        <v>201511010227</v>
      </c>
    </row>
    <row r="4301" spans="1:2" x14ac:dyDescent="0.25">
      <c r="A4301" s="3">
        <v>4296</v>
      </c>
      <c r="B4301" s="3" t="str">
        <f>"201511010239"</f>
        <v>201511010239</v>
      </c>
    </row>
    <row r="4302" spans="1:2" x14ac:dyDescent="0.25">
      <c r="A4302" s="3">
        <v>4297</v>
      </c>
      <c r="B4302" s="3" t="str">
        <f>"201511010264"</f>
        <v>201511010264</v>
      </c>
    </row>
    <row r="4303" spans="1:2" x14ac:dyDescent="0.25">
      <c r="A4303" s="3">
        <v>4298</v>
      </c>
      <c r="B4303" s="3" t="str">
        <f>"201511010293"</f>
        <v>201511010293</v>
      </c>
    </row>
    <row r="4304" spans="1:2" x14ac:dyDescent="0.25">
      <c r="A4304" s="3">
        <v>4299</v>
      </c>
      <c r="B4304" s="3" t="str">
        <f>"201511010378"</f>
        <v>201511010378</v>
      </c>
    </row>
    <row r="4305" spans="1:2" x14ac:dyDescent="0.25">
      <c r="A4305" s="3">
        <v>4300</v>
      </c>
      <c r="B4305" s="3" t="str">
        <f>"201511010395"</f>
        <v>201511010395</v>
      </c>
    </row>
    <row r="4306" spans="1:2" x14ac:dyDescent="0.25">
      <c r="A4306" s="3">
        <v>4301</v>
      </c>
      <c r="B4306" s="3" t="str">
        <f>"201511010411"</f>
        <v>201511010411</v>
      </c>
    </row>
    <row r="4307" spans="1:2" x14ac:dyDescent="0.25">
      <c r="A4307" s="3">
        <v>4302</v>
      </c>
      <c r="B4307" s="3" t="str">
        <f>"201511010419"</f>
        <v>201511010419</v>
      </c>
    </row>
    <row r="4308" spans="1:2" x14ac:dyDescent="0.25">
      <c r="A4308" s="3">
        <v>4303</v>
      </c>
      <c r="B4308" s="3" t="str">
        <f>"201511010512"</f>
        <v>201511010512</v>
      </c>
    </row>
    <row r="4309" spans="1:2" x14ac:dyDescent="0.25">
      <c r="A4309" s="3">
        <v>4304</v>
      </c>
      <c r="B4309" s="3" t="str">
        <f>"201511010595"</f>
        <v>201511010595</v>
      </c>
    </row>
    <row r="4310" spans="1:2" x14ac:dyDescent="0.25">
      <c r="A4310" s="3">
        <v>4305</v>
      </c>
      <c r="B4310" s="3" t="str">
        <f>"201511010721"</f>
        <v>201511010721</v>
      </c>
    </row>
    <row r="4311" spans="1:2" x14ac:dyDescent="0.25">
      <c r="A4311" s="3">
        <v>4306</v>
      </c>
      <c r="B4311" s="3" t="str">
        <f>"201511010783"</f>
        <v>201511010783</v>
      </c>
    </row>
    <row r="4312" spans="1:2" x14ac:dyDescent="0.25">
      <c r="A4312" s="3">
        <v>4307</v>
      </c>
      <c r="B4312" s="3" t="str">
        <f>"201511010943"</f>
        <v>201511010943</v>
      </c>
    </row>
    <row r="4313" spans="1:2" x14ac:dyDescent="0.25">
      <c r="A4313" s="3">
        <v>4308</v>
      </c>
      <c r="B4313" s="3" t="str">
        <f>"201511010971"</f>
        <v>201511010971</v>
      </c>
    </row>
    <row r="4314" spans="1:2" x14ac:dyDescent="0.25">
      <c r="A4314" s="3">
        <v>4309</v>
      </c>
      <c r="B4314" s="3" t="str">
        <f>"201511010991"</f>
        <v>201511010991</v>
      </c>
    </row>
    <row r="4315" spans="1:2" x14ac:dyDescent="0.25">
      <c r="A4315" s="3">
        <v>4310</v>
      </c>
      <c r="B4315" s="3" t="str">
        <f>"201511011129"</f>
        <v>201511011129</v>
      </c>
    </row>
    <row r="4316" spans="1:2" x14ac:dyDescent="0.25">
      <c r="A4316" s="3">
        <v>4311</v>
      </c>
      <c r="B4316" s="3" t="str">
        <f>"201511011198"</f>
        <v>201511011198</v>
      </c>
    </row>
    <row r="4317" spans="1:2" x14ac:dyDescent="0.25">
      <c r="A4317" s="3">
        <v>4312</v>
      </c>
      <c r="B4317" s="3" t="str">
        <f>"201511011312"</f>
        <v>201511011312</v>
      </c>
    </row>
    <row r="4318" spans="1:2" x14ac:dyDescent="0.25">
      <c r="A4318" s="3">
        <v>4313</v>
      </c>
      <c r="B4318" s="3" t="str">
        <f>"201511011319"</f>
        <v>201511011319</v>
      </c>
    </row>
    <row r="4319" spans="1:2" x14ac:dyDescent="0.25">
      <c r="A4319" s="3">
        <v>4314</v>
      </c>
      <c r="B4319" s="3" t="str">
        <f>"201511011473"</f>
        <v>201511011473</v>
      </c>
    </row>
    <row r="4320" spans="1:2" x14ac:dyDescent="0.25">
      <c r="A4320" s="3">
        <v>4315</v>
      </c>
      <c r="B4320" s="3" t="str">
        <f>"201511011486"</f>
        <v>201511011486</v>
      </c>
    </row>
    <row r="4321" spans="1:2" x14ac:dyDescent="0.25">
      <c r="A4321" s="3">
        <v>4316</v>
      </c>
      <c r="B4321" s="3" t="str">
        <f>"201511011494"</f>
        <v>201511011494</v>
      </c>
    </row>
    <row r="4322" spans="1:2" x14ac:dyDescent="0.25">
      <c r="A4322" s="3">
        <v>4317</v>
      </c>
      <c r="B4322" s="3" t="str">
        <f>"201511011528"</f>
        <v>201511011528</v>
      </c>
    </row>
    <row r="4323" spans="1:2" x14ac:dyDescent="0.25">
      <c r="A4323" s="3">
        <v>4318</v>
      </c>
      <c r="B4323" s="3" t="str">
        <f>"201511011579"</f>
        <v>201511011579</v>
      </c>
    </row>
    <row r="4324" spans="1:2" x14ac:dyDescent="0.25">
      <c r="A4324" s="3">
        <v>4319</v>
      </c>
      <c r="B4324" s="3" t="str">
        <f>"201511011584"</f>
        <v>201511011584</v>
      </c>
    </row>
    <row r="4325" spans="1:2" x14ac:dyDescent="0.25">
      <c r="A4325" s="3">
        <v>4320</v>
      </c>
      <c r="B4325" s="3" t="str">
        <f>"201511011589"</f>
        <v>201511011589</v>
      </c>
    </row>
    <row r="4326" spans="1:2" x14ac:dyDescent="0.25">
      <c r="A4326" s="3">
        <v>4321</v>
      </c>
      <c r="B4326" s="3" t="str">
        <f>"201511011591"</f>
        <v>201511011591</v>
      </c>
    </row>
    <row r="4327" spans="1:2" x14ac:dyDescent="0.25">
      <c r="A4327" s="3">
        <v>4322</v>
      </c>
      <c r="B4327" s="3" t="str">
        <f>"201511011676"</f>
        <v>201511011676</v>
      </c>
    </row>
    <row r="4328" spans="1:2" x14ac:dyDescent="0.25">
      <c r="A4328" s="3">
        <v>4323</v>
      </c>
      <c r="B4328" s="3" t="str">
        <f>"201511011699"</f>
        <v>201511011699</v>
      </c>
    </row>
    <row r="4329" spans="1:2" x14ac:dyDescent="0.25">
      <c r="A4329" s="3">
        <v>4324</v>
      </c>
      <c r="B4329" s="3" t="str">
        <f>"201511011714"</f>
        <v>201511011714</v>
      </c>
    </row>
    <row r="4330" spans="1:2" x14ac:dyDescent="0.25">
      <c r="A4330" s="3">
        <v>4325</v>
      </c>
      <c r="B4330" s="3" t="str">
        <f>"201511011716"</f>
        <v>201511011716</v>
      </c>
    </row>
    <row r="4331" spans="1:2" x14ac:dyDescent="0.25">
      <c r="A4331" s="3">
        <v>4326</v>
      </c>
      <c r="B4331" s="3" t="str">
        <f>"201511011732"</f>
        <v>201511011732</v>
      </c>
    </row>
    <row r="4332" spans="1:2" x14ac:dyDescent="0.25">
      <c r="A4332" s="3">
        <v>4327</v>
      </c>
      <c r="B4332" s="3" t="str">
        <f>"201511011741"</f>
        <v>201511011741</v>
      </c>
    </row>
    <row r="4333" spans="1:2" x14ac:dyDescent="0.25">
      <c r="A4333" s="3">
        <v>4328</v>
      </c>
      <c r="B4333" s="3" t="str">
        <f>"201511011771"</f>
        <v>201511011771</v>
      </c>
    </row>
    <row r="4334" spans="1:2" x14ac:dyDescent="0.25">
      <c r="A4334" s="3">
        <v>4329</v>
      </c>
      <c r="B4334" s="3" t="str">
        <f>"201511011795"</f>
        <v>201511011795</v>
      </c>
    </row>
    <row r="4335" spans="1:2" x14ac:dyDescent="0.25">
      <c r="A4335" s="3">
        <v>4330</v>
      </c>
      <c r="B4335" s="3" t="str">
        <f>"201511011874"</f>
        <v>201511011874</v>
      </c>
    </row>
    <row r="4336" spans="1:2" x14ac:dyDescent="0.25">
      <c r="A4336" s="3">
        <v>4331</v>
      </c>
      <c r="B4336" s="3" t="str">
        <f>"201511011937"</f>
        <v>201511011937</v>
      </c>
    </row>
    <row r="4337" spans="1:2" x14ac:dyDescent="0.25">
      <c r="A4337" s="3">
        <v>4332</v>
      </c>
      <c r="B4337" s="3" t="str">
        <f>"201511012021"</f>
        <v>201511012021</v>
      </c>
    </row>
    <row r="4338" spans="1:2" x14ac:dyDescent="0.25">
      <c r="A4338" s="3">
        <v>4333</v>
      </c>
      <c r="B4338" s="3" t="str">
        <f>"201511012145"</f>
        <v>201511012145</v>
      </c>
    </row>
    <row r="4339" spans="1:2" x14ac:dyDescent="0.25">
      <c r="A4339" s="3">
        <v>4334</v>
      </c>
      <c r="B4339" s="3" t="str">
        <f>"201511012212"</f>
        <v>201511012212</v>
      </c>
    </row>
    <row r="4340" spans="1:2" x14ac:dyDescent="0.25">
      <c r="A4340" s="3">
        <v>4335</v>
      </c>
      <c r="B4340" s="3" t="str">
        <f>"201511012282"</f>
        <v>201511012282</v>
      </c>
    </row>
    <row r="4341" spans="1:2" x14ac:dyDescent="0.25">
      <c r="A4341" s="3">
        <v>4336</v>
      </c>
      <c r="B4341" s="3" t="str">
        <f>"201511012545"</f>
        <v>201511012545</v>
      </c>
    </row>
    <row r="4342" spans="1:2" x14ac:dyDescent="0.25">
      <c r="A4342" s="3">
        <v>4337</v>
      </c>
      <c r="B4342" s="3" t="str">
        <f>"201511012561"</f>
        <v>201511012561</v>
      </c>
    </row>
    <row r="4343" spans="1:2" x14ac:dyDescent="0.25">
      <c r="A4343" s="3">
        <v>4338</v>
      </c>
      <c r="B4343" s="3" t="str">
        <f>"201511012622"</f>
        <v>201511012622</v>
      </c>
    </row>
    <row r="4344" spans="1:2" x14ac:dyDescent="0.25">
      <c r="A4344" s="3">
        <v>4339</v>
      </c>
      <c r="B4344" s="3" t="str">
        <f>"201511012677"</f>
        <v>201511012677</v>
      </c>
    </row>
    <row r="4345" spans="1:2" x14ac:dyDescent="0.25">
      <c r="A4345" s="3">
        <v>4340</v>
      </c>
      <c r="B4345" s="3" t="str">
        <f>"201511012897"</f>
        <v>201511012897</v>
      </c>
    </row>
    <row r="4346" spans="1:2" x14ac:dyDescent="0.25">
      <c r="A4346" s="3">
        <v>4341</v>
      </c>
      <c r="B4346" s="3" t="str">
        <f>"201511012956"</f>
        <v>201511012956</v>
      </c>
    </row>
    <row r="4347" spans="1:2" x14ac:dyDescent="0.25">
      <c r="A4347" s="3">
        <v>4342</v>
      </c>
      <c r="B4347" s="3" t="str">
        <f>"201511013003"</f>
        <v>201511013003</v>
      </c>
    </row>
    <row r="4348" spans="1:2" x14ac:dyDescent="0.25">
      <c r="A4348" s="3">
        <v>4343</v>
      </c>
      <c r="B4348" s="3" t="str">
        <f>"201511013097"</f>
        <v>201511013097</v>
      </c>
    </row>
    <row r="4349" spans="1:2" x14ac:dyDescent="0.25">
      <c r="A4349" s="3">
        <v>4344</v>
      </c>
      <c r="B4349" s="3" t="str">
        <f>"201511013120"</f>
        <v>201511013120</v>
      </c>
    </row>
    <row r="4350" spans="1:2" x14ac:dyDescent="0.25">
      <c r="A4350" s="3">
        <v>4345</v>
      </c>
      <c r="B4350" s="3" t="str">
        <f>"201511013156"</f>
        <v>201511013156</v>
      </c>
    </row>
    <row r="4351" spans="1:2" x14ac:dyDescent="0.25">
      <c r="A4351" s="3">
        <v>4346</v>
      </c>
      <c r="B4351" s="3" t="str">
        <f>"201511013321"</f>
        <v>201511013321</v>
      </c>
    </row>
    <row r="4352" spans="1:2" x14ac:dyDescent="0.25">
      <c r="A4352" s="3">
        <v>4347</v>
      </c>
      <c r="B4352" s="3" t="str">
        <f>"201511013330"</f>
        <v>201511013330</v>
      </c>
    </row>
    <row r="4353" spans="1:2" x14ac:dyDescent="0.25">
      <c r="A4353" s="3">
        <v>4348</v>
      </c>
      <c r="B4353" s="3" t="str">
        <f>"201511013337"</f>
        <v>201511013337</v>
      </c>
    </row>
    <row r="4354" spans="1:2" x14ac:dyDescent="0.25">
      <c r="A4354" s="3">
        <v>4349</v>
      </c>
      <c r="B4354" s="3" t="str">
        <f>"201511013435"</f>
        <v>201511013435</v>
      </c>
    </row>
    <row r="4355" spans="1:2" x14ac:dyDescent="0.25">
      <c r="A4355" s="3">
        <v>4350</v>
      </c>
      <c r="B4355" s="3" t="str">
        <f>"201511013449"</f>
        <v>201511013449</v>
      </c>
    </row>
    <row r="4356" spans="1:2" x14ac:dyDescent="0.25">
      <c r="A4356" s="3">
        <v>4351</v>
      </c>
      <c r="B4356" s="3" t="str">
        <f>"201511013459"</f>
        <v>201511013459</v>
      </c>
    </row>
    <row r="4357" spans="1:2" x14ac:dyDescent="0.25">
      <c r="A4357" s="3">
        <v>4352</v>
      </c>
      <c r="B4357" s="3" t="str">
        <f>"201511013635"</f>
        <v>201511013635</v>
      </c>
    </row>
    <row r="4358" spans="1:2" x14ac:dyDescent="0.25">
      <c r="A4358" s="3">
        <v>4353</v>
      </c>
      <c r="B4358" s="3" t="str">
        <f>"201511013647"</f>
        <v>201511013647</v>
      </c>
    </row>
    <row r="4359" spans="1:2" x14ac:dyDescent="0.25">
      <c r="A4359" s="3">
        <v>4354</v>
      </c>
      <c r="B4359" s="3" t="str">
        <f>"201511013662"</f>
        <v>201511013662</v>
      </c>
    </row>
    <row r="4360" spans="1:2" x14ac:dyDescent="0.25">
      <c r="A4360" s="3">
        <v>4355</v>
      </c>
      <c r="B4360" s="3" t="str">
        <f>"201511013705"</f>
        <v>201511013705</v>
      </c>
    </row>
    <row r="4361" spans="1:2" x14ac:dyDescent="0.25">
      <c r="A4361" s="3">
        <v>4356</v>
      </c>
      <c r="B4361" s="3" t="str">
        <f>"201511013718"</f>
        <v>201511013718</v>
      </c>
    </row>
    <row r="4362" spans="1:2" x14ac:dyDescent="0.25">
      <c r="A4362" s="3">
        <v>4357</v>
      </c>
      <c r="B4362" s="3" t="str">
        <f>"201511013790"</f>
        <v>201511013790</v>
      </c>
    </row>
    <row r="4363" spans="1:2" x14ac:dyDescent="0.25">
      <c r="A4363" s="3">
        <v>4358</v>
      </c>
      <c r="B4363" s="3" t="str">
        <f>"201511013815"</f>
        <v>201511013815</v>
      </c>
    </row>
    <row r="4364" spans="1:2" x14ac:dyDescent="0.25">
      <c r="A4364" s="3">
        <v>4359</v>
      </c>
      <c r="B4364" s="3" t="str">
        <f>"201511013826"</f>
        <v>201511013826</v>
      </c>
    </row>
    <row r="4365" spans="1:2" x14ac:dyDescent="0.25">
      <c r="A4365" s="3">
        <v>4360</v>
      </c>
      <c r="B4365" s="3" t="str">
        <f>"201511013889"</f>
        <v>201511013889</v>
      </c>
    </row>
    <row r="4366" spans="1:2" x14ac:dyDescent="0.25">
      <c r="A4366" s="3">
        <v>4361</v>
      </c>
      <c r="B4366" s="3" t="str">
        <f>"201511013954"</f>
        <v>201511013954</v>
      </c>
    </row>
    <row r="4367" spans="1:2" x14ac:dyDescent="0.25">
      <c r="A4367" s="3">
        <v>4362</v>
      </c>
      <c r="B4367" s="3" t="str">
        <f>"201511013990"</f>
        <v>201511013990</v>
      </c>
    </row>
    <row r="4368" spans="1:2" x14ac:dyDescent="0.25">
      <c r="A4368" s="3">
        <v>4363</v>
      </c>
      <c r="B4368" s="3" t="str">
        <f>"201511014017"</f>
        <v>201511014017</v>
      </c>
    </row>
    <row r="4369" spans="1:2" x14ac:dyDescent="0.25">
      <c r="A4369" s="3">
        <v>4364</v>
      </c>
      <c r="B4369" s="3" t="str">
        <f>"201511014022"</f>
        <v>201511014022</v>
      </c>
    </row>
    <row r="4370" spans="1:2" x14ac:dyDescent="0.25">
      <c r="A4370" s="3">
        <v>4365</v>
      </c>
      <c r="B4370" s="3" t="str">
        <f>"201511014063"</f>
        <v>201511014063</v>
      </c>
    </row>
    <row r="4371" spans="1:2" x14ac:dyDescent="0.25">
      <c r="A4371" s="3">
        <v>4366</v>
      </c>
      <c r="B4371" s="3" t="str">
        <f>"201511014175"</f>
        <v>201511014175</v>
      </c>
    </row>
    <row r="4372" spans="1:2" x14ac:dyDescent="0.25">
      <c r="A4372" s="3">
        <v>4367</v>
      </c>
      <c r="B4372" s="3" t="str">
        <f>"201511014217"</f>
        <v>201511014217</v>
      </c>
    </row>
    <row r="4373" spans="1:2" x14ac:dyDescent="0.25">
      <c r="A4373" s="3">
        <v>4368</v>
      </c>
      <c r="B4373" s="3" t="str">
        <f>"201511014244"</f>
        <v>201511014244</v>
      </c>
    </row>
    <row r="4374" spans="1:2" x14ac:dyDescent="0.25">
      <c r="A4374" s="3">
        <v>4369</v>
      </c>
      <c r="B4374" s="3" t="str">
        <f>"201511014294"</f>
        <v>201511014294</v>
      </c>
    </row>
    <row r="4375" spans="1:2" x14ac:dyDescent="0.25">
      <c r="A4375" s="3">
        <v>4370</v>
      </c>
      <c r="B4375" s="3" t="str">
        <f>"201511014361"</f>
        <v>201511014361</v>
      </c>
    </row>
    <row r="4376" spans="1:2" x14ac:dyDescent="0.25">
      <c r="A4376" s="3">
        <v>4371</v>
      </c>
      <c r="B4376" s="3" t="str">
        <f>"201511014655"</f>
        <v>201511014655</v>
      </c>
    </row>
    <row r="4377" spans="1:2" x14ac:dyDescent="0.25">
      <c r="A4377" s="3">
        <v>4372</v>
      </c>
      <c r="B4377" s="3" t="str">
        <f>"201511014782"</f>
        <v>201511014782</v>
      </c>
    </row>
    <row r="4378" spans="1:2" x14ac:dyDescent="0.25">
      <c r="A4378" s="3">
        <v>4373</v>
      </c>
      <c r="B4378" s="3" t="str">
        <f>"201511014902"</f>
        <v>201511014902</v>
      </c>
    </row>
    <row r="4379" spans="1:2" x14ac:dyDescent="0.25">
      <c r="A4379" s="3">
        <v>4374</v>
      </c>
      <c r="B4379" s="3" t="str">
        <f>"201511014909"</f>
        <v>201511014909</v>
      </c>
    </row>
    <row r="4380" spans="1:2" x14ac:dyDescent="0.25">
      <c r="A4380" s="3">
        <v>4375</v>
      </c>
      <c r="B4380" s="3" t="str">
        <f>"201511014912"</f>
        <v>201511014912</v>
      </c>
    </row>
    <row r="4381" spans="1:2" x14ac:dyDescent="0.25">
      <c r="A4381" s="3">
        <v>4376</v>
      </c>
      <c r="B4381" s="3" t="str">
        <f>"201511015019"</f>
        <v>201511015019</v>
      </c>
    </row>
    <row r="4382" spans="1:2" x14ac:dyDescent="0.25">
      <c r="A4382" s="3">
        <v>4377</v>
      </c>
      <c r="B4382" s="3" t="str">
        <f>"201511015066"</f>
        <v>201511015066</v>
      </c>
    </row>
    <row r="4383" spans="1:2" x14ac:dyDescent="0.25">
      <c r="A4383" s="3">
        <v>4378</v>
      </c>
      <c r="B4383" s="3" t="str">
        <f>"201511015100"</f>
        <v>201511015100</v>
      </c>
    </row>
    <row r="4384" spans="1:2" x14ac:dyDescent="0.25">
      <c r="A4384" s="3">
        <v>4379</v>
      </c>
      <c r="B4384" s="3" t="str">
        <f>"201511015103"</f>
        <v>201511015103</v>
      </c>
    </row>
    <row r="4385" spans="1:2" x14ac:dyDescent="0.25">
      <c r="A4385" s="3">
        <v>4380</v>
      </c>
      <c r="B4385" s="3" t="str">
        <f>"201511015160"</f>
        <v>201511015160</v>
      </c>
    </row>
    <row r="4386" spans="1:2" x14ac:dyDescent="0.25">
      <c r="A4386" s="3">
        <v>4381</v>
      </c>
      <c r="B4386" s="3" t="str">
        <f>"201511015196"</f>
        <v>201511015196</v>
      </c>
    </row>
    <row r="4387" spans="1:2" x14ac:dyDescent="0.25">
      <c r="A4387" s="3">
        <v>4382</v>
      </c>
      <c r="B4387" s="3" t="str">
        <f>"201511015275"</f>
        <v>201511015275</v>
      </c>
    </row>
    <row r="4388" spans="1:2" x14ac:dyDescent="0.25">
      <c r="A4388" s="3">
        <v>4383</v>
      </c>
      <c r="B4388" s="3" t="str">
        <f>"201511015385"</f>
        <v>201511015385</v>
      </c>
    </row>
    <row r="4389" spans="1:2" x14ac:dyDescent="0.25">
      <c r="A4389" s="3">
        <v>4384</v>
      </c>
      <c r="B4389" s="3" t="str">
        <f>"201511015410"</f>
        <v>201511015410</v>
      </c>
    </row>
    <row r="4390" spans="1:2" x14ac:dyDescent="0.25">
      <c r="A4390" s="3">
        <v>4385</v>
      </c>
      <c r="B4390" s="3" t="str">
        <f>"201511015585"</f>
        <v>201511015585</v>
      </c>
    </row>
    <row r="4391" spans="1:2" x14ac:dyDescent="0.25">
      <c r="A4391" s="3">
        <v>4386</v>
      </c>
      <c r="B4391" s="3" t="str">
        <f>"201511015618"</f>
        <v>201511015618</v>
      </c>
    </row>
    <row r="4392" spans="1:2" x14ac:dyDescent="0.25">
      <c r="A4392" s="3">
        <v>4387</v>
      </c>
      <c r="B4392" s="3" t="str">
        <f>"201511015668"</f>
        <v>201511015668</v>
      </c>
    </row>
    <row r="4393" spans="1:2" x14ac:dyDescent="0.25">
      <c r="A4393" s="3">
        <v>4388</v>
      </c>
      <c r="B4393" s="3" t="str">
        <f>"201511015681"</f>
        <v>201511015681</v>
      </c>
    </row>
    <row r="4394" spans="1:2" x14ac:dyDescent="0.25">
      <c r="A4394" s="3">
        <v>4389</v>
      </c>
      <c r="B4394" s="3" t="str">
        <f>"201511015728"</f>
        <v>201511015728</v>
      </c>
    </row>
    <row r="4395" spans="1:2" x14ac:dyDescent="0.25">
      <c r="A4395" s="3">
        <v>4390</v>
      </c>
      <c r="B4395" s="3" t="str">
        <f>"201511015825"</f>
        <v>201511015825</v>
      </c>
    </row>
    <row r="4396" spans="1:2" x14ac:dyDescent="0.25">
      <c r="A4396" s="3">
        <v>4391</v>
      </c>
      <c r="B4396" s="3" t="str">
        <f>"201511016104"</f>
        <v>201511016104</v>
      </c>
    </row>
    <row r="4397" spans="1:2" x14ac:dyDescent="0.25">
      <c r="A4397" s="3">
        <v>4392</v>
      </c>
      <c r="B4397" s="3" t="str">
        <f>"201511016116"</f>
        <v>201511016116</v>
      </c>
    </row>
    <row r="4398" spans="1:2" x14ac:dyDescent="0.25">
      <c r="A4398" s="3">
        <v>4393</v>
      </c>
      <c r="B4398" s="3" t="str">
        <f>"201511016187"</f>
        <v>201511016187</v>
      </c>
    </row>
    <row r="4399" spans="1:2" x14ac:dyDescent="0.25">
      <c r="A4399" s="3">
        <v>4394</v>
      </c>
      <c r="B4399" s="3" t="str">
        <f>"201511016273"</f>
        <v>201511016273</v>
      </c>
    </row>
    <row r="4400" spans="1:2" x14ac:dyDescent="0.25">
      <c r="A4400" s="3">
        <v>4395</v>
      </c>
      <c r="B4400" s="3" t="str">
        <f>"201511016307"</f>
        <v>201511016307</v>
      </c>
    </row>
    <row r="4401" spans="1:2" x14ac:dyDescent="0.25">
      <c r="A4401" s="3">
        <v>4396</v>
      </c>
      <c r="B4401" s="3" t="str">
        <f>"201511016328"</f>
        <v>201511016328</v>
      </c>
    </row>
    <row r="4402" spans="1:2" x14ac:dyDescent="0.25">
      <c r="A4402" s="3">
        <v>4397</v>
      </c>
      <c r="B4402" s="3" t="str">
        <f>"201511016392"</f>
        <v>201511016392</v>
      </c>
    </row>
    <row r="4403" spans="1:2" x14ac:dyDescent="0.25">
      <c r="A4403" s="3">
        <v>4398</v>
      </c>
      <c r="B4403" s="3" t="str">
        <f>"201511016551"</f>
        <v>201511016551</v>
      </c>
    </row>
    <row r="4404" spans="1:2" x14ac:dyDescent="0.25">
      <c r="A4404" s="3">
        <v>4399</v>
      </c>
      <c r="B4404" s="3" t="str">
        <f>"201511016606"</f>
        <v>201511016606</v>
      </c>
    </row>
    <row r="4405" spans="1:2" x14ac:dyDescent="0.25">
      <c r="A4405" s="3">
        <v>4400</v>
      </c>
      <c r="B4405" s="3" t="str">
        <f>"201511016685"</f>
        <v>201511016685</v>
      </c>
    </row>
    <row r="4406" spans="1:2" x14ac:dyDescent="0.25">
      <c r="A4406" s="3">
        <v>4401</v>
      </c>
      <c r="B4406" s="3" t="str">
        <f>"201511016720"</f>
        <v>201511016720</v>
      </c>
    </row>
    <row r="4407" spans="1:2" x14ac:dyDescent="0.25">
      <c r="A4407" s="3">
        <v>4402</v>
      </c>
      <c r="B4407" s="3" t="str">
        <f>"201511016738"</f>
        <v>201511016738</v>
      </c>
    </row>
    <row r="4408" spans="1:2" x14ac:dyDescent="0.25">
      <c r="A4408" s="3">
        <v>4403</v>
      </c>
      <c r="B4408" s="3" t="str">
        <f>"201511016800"</f>
        <v>201511016800</v>
      </c>
    </row>
    <row r="4409" spans="1:2" x14ac:dyDescent="0.25">
      <c r="A4409" s="3">
        <v>4404</v>
      </c>
      <c r="B4409" s="3" t="str">
        <f>"201511016887"</f>
        <v>201511016887</v>
      </c>
    </row>
    <row r="4410" spans="1:2" x14ac:dyDescent="0.25">
      <c r="A4410" s="3">
        <v>4405</v>
      </c>
      <c r="B4410" s="3" t="str">
        <f>"201511016910"</f>
        <v>201511016910</v>
      </c>
    </row>
    <row r="4411" spans="1:2" x14ac:dyDescent="0.25">
      <c r="A4411" s="3">
        <v>4406</v>
      </c>
      <c r="B4411" s="3" t="str">
        <f>"201511016987"</f>
        <v>201511016987</v>
      </c>
    </row>
    <row r="4412" spans="1:2" x14ac:dyDescent="0.25">
      <c r="A4412" s="3">
        <v>4407</v>
      </c>
      <c r="B4412" s="3" t="str">
        <f>"201511017026"</f>
        <v>201511017026</v>
      </c>
    </row>
    <row r="4413" spans="1:2" x14ac:dyDescent="0.25">
      <c r="A4413" s="3">
        <v>4408</v>
      </c>
      <c r="B4413" s="3" t="str">
        <f>"201511017043"</f>
        <v>201511017043</v>
      </c>
    </row>
    <row r="4414" spans="1:2" x14ac:dyDescent="0.25">
      <c r="A4414" s="3">
        <v>4409</v>
      </c>
      <c r="B4414" s="3" t="str">
        <f>"201511017098"</f>
        <v>201511017098</v>
      </c>
    </row>
    <row r="4415" spans="1:2" x14ac:dyDescent="0.25">
      <c r="A4415" s="3">
        <v>4410</v>
      </c>
      <c r="B4415" s="3" t="str">
        <f>"201511017134"</f>
        <v>201511017134</v>
      </c>
    </row>
    <row r="4416" spans="1:2" x14ac:dyDescent="0.25">
      <c r="A4416" s="3">
        <v>4411</v>
      </c>
      <c r="B4416" s="3" t="str">
        <f>"201511017151"</f>
        <v>201511017151</v>
      </c>
    </row>
    <row r="4417" spans="1:2" x14ac:dyDescent="0.25">
      <c r="A4417" s="3">
        <v>4412</v>
      </c>
      <c r="B4417" s="3" t="str">
        <f>"201511017184"</f>
        <v>201511017184</v>
      </c>
    </row>
    <row r="4418" spans="1:2" x14ac:dyDescent="0.25">
      <c r="A4418" s="3">
        <v>4413</v>
      </c>
      <c r="B4418" s="3" t="str">
        <f>"201511017197"</f>
        <v>201511017197</v>
      </c>
    </row>
    <row r="4419" spans="1:2" x14ac:dyDescent="0.25">
      <c r="A4419" s="3">
        <v>4414</v>
      </c>
      <c r="B4419" s="3" t="str">
        <f>"201511017208"</f>
        <v>201511017208</v>
      </c>
    </row>
    <row r="4420" spans="1:2" x14ac:dyDescent="0.25">
      <c r="A4420" s="3">
        <v>4415</v>
      </c>
      <c r="B4420" s="3" t="str">
        <f>"201511017265"</f>
        <v>201511017265</v>
      </c>
    </row>
    <row r="4421" spans="1:2" x14ac:dyDescent="0.25">
      <c r="A4421" s="3">
        <v>4416</v>
      </c>
      <c r="B4421" s="3" t="str">
        <f>"201511017441"</f>
        <v>201511017441</v>
      </c>
    </row>
    <row r="4422" spans="1:2" x14ac:dyDescent="0.25">
      <c r="A4422" s="3">
        <v>4417</v>
      </c>
      <c r="B4422" s="3" t="str">
        <f>"201511017477"</f>
        <v>201511017477</v>
      </c>
    </row>
    <row r="4423" spans="1:2" x14ac:dyDescent="0.25">
      <c r="A4423" s="3">
        <v>4418</v>
      </c>
      <c r="B4423" s="3" t="str">
        <f>"201511017519"</f>
        <v>201511017519</v>
      </c>
    </row>
    <row r="4424" spans="1:2" x14ac:dyDescent="0.25">
      <c r="A4424" s="3">
        <v>4419</v>
      </c>
      <c r="B4424" s="3" t="str">
        <f>"201511017533"</f>
        <v>201511017533</v>
      </c>
    </row>
    <row r="4425" spans="1:2" x14ac:dyDescent="0.25">
      <c r="A4425" s="3">
        <v>4420</v>
      </c>
      <c r="B4425" s="3" t="str">
        <f>"201511017572"</f>
        <v>201511017572</v>
      </c>
    </row>
    <row r="4426" spans="1:2" x14ac:dyDescent="0.25">
      <c r="A4426" s="3">
        <v>4421</v>
      </c>
      <c r="B4426" s="3" t="str">
        <f>"201511017612"</f>
        <v>201511017612</v>
      </c>
    </row>
    <row r="4427" spans="1:2" x14ac:dyDescent="0.25">
      <c r="A4427" s="3">
        <v>4422</v>
      </c>
      <c r="B4427" s="3" t="str">
        <f>"201511017655"</f>
        <v>201511017655</v>
      </c>
    </row>
    <row r="4428" spans="1:2" x14ac:dyDescent="0.25">
      <c r="A4428" s="3">
        <v>4423</v>
      </c>
      <c r="B4428" s="3" t="str">
        <f>"201511017764"</f>
        <v>201511017764</v>
      </c>
    </row>
    <row r="4429" spans="1:2" x14ac:dyDescent="0.25">
      <c r="A4429" s="3">
        <v>4424</v>
      </c>
      <c r="B4429" s="3" t="str">
        <f>"201511017765"</f>
        <v>201511017765</v>
      </c>
    </row>
    <row r="4430" spans="1:2" x14ac:dyDescent="0.25">
      <c r="A4430" s="3">
        <v>4425</v>
      </c>
      <c r="B4430" s="3" t="str">
        <f>"201511017776"</f>
        <v>201511017776</v>
      </c>
    </row>
    <row r="4431" spans="1:2" x14ac:dyDescent="0.25">
      <c r="A4431" s="3">
        <v>4426</v>
      </c>
      <c r="B4431" s="3" t="str">
        <f>"201511017828"</f>
        <v>201511017828</v>
      </c>
    </row>
    <row r="4432" spans="1:2" x14ac:dyDescent="0.25">
      <c r="A4432" s="3">
        <v>4427</v>
      </c>
      <c r="B4432" s="3" t="str">
        <f>"201511018051"</f>
        <v>201511018051</v>
      </c>
    </row>
    <row r="4433" spans="1:2" x14ac:dyDescent="0.25">
      <c r="A4433" s="3">
        <v>4428</v>
      </c>
      <c r="B4433" s="3" t="str">
        <f>"201511018114"</f>
        <v>201511018114</v>
      </c>
    </row>
    <row r="4434" spans="1:2" x14ac:dyDescent="0.25">
      <c r="A4434" s="3">
        <v>4429</v>
      </c>
      <c r="B4434" s="3" t="str">
        <f>"201511018127"</f>
        <v>201511018127</v>
      </c>
    </row>
    <row r="4435" spans="1:2" x14ac:dyDescent="0.25">
      <c r="A4435" s="3">
        <v>4430</v>
      </c>
      <c r="B4435" s="3" t="str">
        <f>"201511018266"</f>
        <v>201511018266</v>
      </c>
    </row>
    <row r="4436" spans="1:2" x14ac:dyDescent="0.25">
      <c r="A4436" s="3">
        <v>4431</v>
      </c>
      <c r="B4436" s="3" t="str">
        <f>"201511018271"</f>
        <v>201511018271</v>
      </c>
    </row>
    <row r="4437" spans="1:2" x14ac:dyDescent="0.25">
      <c r="A4437" s="3">
        <v>4432</v>
      </c>
      <c r="B4437" s="3" t="str">
        <f>"201511018299"</f>
        <v>201511018299</v>
      </c>
    </row>
    <row r="4438" spans="1:2" x14ac:dyDescent="0.25">
      <c r="A4438" s="3">
        <v>4433</v>
      </c>
      <c r="B4438" s="3" t="str">
        <f>"201511018311"</f>
        <v>201511018311</v>
      </c>
    </row>
    <row r="4439" spans="1:2" x14ac:dyDescent="0.25">
      <c r="A4439" s="3">
        <v>4434</v>
      </c>
      <c r="B4439" s="3" t="str">
        <f>"201511018325"</f>
        <v>201511018325</v>
      </c>
    </row>
    <row r="4440" spans="1:2" x14ac:dyDescent="0.25">
      <c r="A4440" s="3">
        <v>4435</v>
      </c>
      <c r="B4440" s="3" t="str">
        <f>"201511018340"</f>
        <v>201511018340</v>
      </c>
    </row>
    <row r="4441" spans="1:2" x14ac:dyDescent="0.25">
      <c r="A4441" s="3">
        <v>4436</v>
      </c>
      <c r="B4441" s="3" t="str">
        <f>"201511018381"</f>
        <v>201511018381</v>
      </c>
    </row>
    <row r="4442" spans="1:2" x14ac:dyDescent="0.25">
      <c r="A4442" s="3">
        <v>4437</v>
      </c>
      <c r="B4442" s="3" t="str">
        <f>"201511018485"</f>
        <v>201511018485</v>
      </c>
    </row>
    <row r="4443" spans="1:2" x14ac:dyDescent="0.25">
      <c r="A4443" s="3">
        <v>4438</v>
      </c>
      <c r="B4443" s="3" t="str">
        <f>"201511018549"</f>
        <v>201511018549</v>
      </c>
    </row>
    <row r="4444" spans="1:2" x14ac:dyDescent="0.25">
      <c r="A4444" s="3">
        <v>4439</v>
      </c>
      <c r="B4444" s="3" t="str">
        <f>"201511018628"</f>
        <v>201511018628</v>
      </c>
    </row>
    <row r="4445" spans="1:2" x14ac:dyDescent="0.25">
      <c r="A4445" s="3">
        <v>4440</v>
      </c>
      <c r="B4445" s="3" t="str">
        <f>"201511018630"</f>
        <v>201511018630</v>
      </c>
    </row>
    <row r="4446" spans="1:2" x14ac:dyDescent="0.25">
      <c r="A4446" s="3">
        <v>4441</v>
      </c>
      <c r="B4446" s="3" t="str">
        <f>"201511018699"</f>
        <v>201511018699</v>
      </c>
    </row>
    <row r="4447" spans="1:2" x14ac:dyDescent="0.25">
      <c r="A4447" s="3">
        <v>4442</v>
      </c>
      <c r="B4447" s="3" t="str">
        <f>"201511018747"</f>
        <v>201511018747</v>
      </c>
    </row>
    <row r="4448" spans="1:2" x14ac:dyDescent="0.25">
      <c r="A4448" s="3">
        <v>4443</v>
      </c>
      <c r="B4448" s="3" t="str">
        <f>"201511018759"</f>
        <v>201511018759</v>
      </c>
    </row>
    <row r="4449" spans="1:2" x14ac:dyDescent="0.25">
      <c r="A4449" s="3">
        <v>4444</v>
      </c>
      <c r="B4449" s="3" t="str">
        <f>"201511018882"</f>
        <v>201511018882</v>
      </c>
    </row>
    <row r="4450" spans="1:2" x14ac:dyDescent="0.25">
      <c r="A4450" s="3">
        <v>4445</v>
      </c>
      <c r="B4450" s="3" t="str">
        <f>"201511018888"</f>
        <v>201511018888</v>
      </c>
    </row>
    <row r="4451" spans="1:2" x14ac:dyDescent="0.25">
      <c r="A4451" s="3">
        <v>4446</v>
      </c>
      <c r="B4451" s="3" t="str">
        <f>"201511019027"</f>
        <v>201511019027</v>
      </c>
    </row>
    <row r="4452" spans="1:2" x14ac:dyDescent="0.25">
      <c r="A4452" s="3">
        <v>4447</v>
      </c>
      <c r="B4452" s="3" t="str">
        <f>"201511019116"</f>
        <v>201511019116</v>
      </c>
    </row>
    <row r="4453" spans="1:2" x14ac:dyDescent="0.25">
      <c r="A4453" s="3">
        <v>4448</v>
      </c>
      <c r="B4453" s="3" t="str">
        <f>"201511019261"</f>
        <v>201511019261</v>
      </c>
    </row>
    <row r="4454" spans="1:2" x14ac:dyDescent="0.25">
      <c r="A4454" s="3">
        <v>4449</v>
      </c>
      <c r="B4454" s="3" t="str">
        <f>"201511019419"</f>
        <v>201511019419</v>
      </c>
    </row>
    <row r="4455" spans="1:2" x14ac:dyDescent="0.25">
      <c r="A4455" s="3">
        <v>4450</v>
      </c>
      <c r="B4455" s="3" t="str">
        <f>"201511019646"</f>
        <v>201511019646</v>
      </c>
    </row>
    <row r="4456" spans="1:2" x14ac:dyDescent="0.25">
      <c r="A4456" s="3">
        <v>4451</v>
      </c>
      <c r="B4456" s="3" t="str">
        <f>"201511019648"</f>
        <v>201511019648</v>
      </c>
    </row>
    <row r="4457" spans="1:2" x14ac:dyDescent="0.25">
      <c r="A4457" s="3">
        <v>4452</v>
      </c>
      <c r="B4457" s="3" t="str">
        <f>"201511019737"</f>
        <v>201511019737</v>
      </c>
    </row>
    <row r="4458" spans="1:2" x14ac:dyDescent="0.25">
      <c r="A4458" s="3">
        <v>4453</v>
      </c>
      <c r="B4458" s="3" t="str">
        <f>"201511019802"</f>
        <v>201511019802</v>
      </c>
    </row>
    <row r="4459" spans="1:2" x14ac:dyDescent="0.25">
      <c r="A4459" s="3">
        <v>4454</v>
      </c>
      <c r="B4459" s="3" t="str">
        <f>"201511019814"</f>
        <v>201511019814</v>
      </c>
    </row>
    <row r="4460" spans="1:2" x14ac:dyDescent="0.25">
      <c r="A4460" s="3">
        <v>4455</v>
      </c>
      <c r="B4460" s="3" t="str">
        <f>"201511019855"</f>
        <v>201511019855</v>
      </c>
    </row>
    <row r="4461" spans="1:2" x14ac:dyDescent="0.25">
      <c r="A4461" s="3">
        <v>4456</v>
      </c>
      <c r="B4461" s="3" t="str">
        <f>"201511020007"</f>
        <v>201511020007</v>
      </c>
    </row>
    <row r="4462" spans="1:2" x14ac:dyDescent="0.25">
      <c r="A4462" s="3">
        <v>4457</v>
      </c>
      <c r="B4462" s="3" t="str">
        <f>"201511020043"</f>
        <v>201511020043</v>
      </c>
    </row>
    <row r="4463" spans="1:2" x14ac:dyDescent="0.25">
      <c r="A4463" s="3">
        <v>4458</v>
      </c>
      <c r="B4463" s="3" t="str">
        <f>"201511020265"</f>
        <v>201511020265</v>
      </c>
    </row>
    <row r="4464" spans="1:2" x14ac:dyDescent="0.25">
      <c r="A4464" s="3">
        <v>4459</v>
      </c>
      <c r="B4464" s="3" t="str">
        <f>"201511020273"</f>
        <v>201511020273</v>
      </c>
    </row>
    <row r="4465" spans="1:2" x14ac:dyDescent="0.25">
      <c r="A4465" s="3">
        <v>4460</v>
      </c>
      <c r="B4465" s="3" t="str">
        <f>"201511020305"</f>
        <v>201511020305</v>
      </c>
    </row>
    <row r="4466" spans="1:2" x14ac:dyDescent="0.25">
      <c r="A4466" s="3">
        <v>4461</v>
      </c>
      <c r="B4466" s="3" t="str">
        <f>"201511020410"</f>
        <v>201511020410</v>
      </c>
    </row>
    <row r="4467" spans="1:2" x14ac:dyDescent="0.25">
      <c r="A4467" s="3">
        <v>4462</v>
      </c>
      <c r="B4467" s="3" t="str">
        <f>"201511020633"</f>
        <v>201511020633</v>
      </c>
    </row>
    <row r="4468" spans="1:2" x14ac:dyDescent="0.25">
      <c r="A4468" s="3">
        <v>4463</v>
      </c>
      <c r="B4468" s="3" t="str">
        <f>"201511020647"</f>
        <v>201511020647</v>
      </c>
    </row>
    <row r="4469" spans="1:2" x14ac:dyDescent="0.25">
      <c r="A4469" s="3">
        <v>4464</v>
      </c>
      <c r="B4469" s="3" t="str">
        <f>"201511020744"</f>
        <v>201511020744</v>
      </c>
    </row>
    <row r="4470" spans="1:2" x14ac:dyDescent="0.25">
      <c r="A4470" s="3">
        <v>4465</v>
      </c>
      <c r="B4470" s="3" t="str">
        <f>"201511020779"</f>
        <v>201511020779</v>
      </c>
    </row>
    <row r="4471" spans="1:2" x14ac:dyDescent="0.25">
      <c r="A4471" s="3">
        <v>4466</v>
      </c>
      <c r="B4471" s="3" t="str">
        <f>"201511020828"</f>
        <v>201511020828</v>
      </c>
    </row>
    <row r="4472" spans="1:2" x14ac:dyDescent="0.25">
      <c r="A4472" s="3">
        <v>4467</v>
      </c>
      <c r="B4472" s="3" t="str">
        <f>"201511021001"</f>
        <v>201511021001</v>
      </c>
    </row>
    <row r="4473" spans="1:2" x14ac:dyDescent="0.25">
      <c r="A4473" s="3">
        <v>4468</v>
      </c>
      <c r="B4473" s="3" t="str">
        <f>"201511021071"</f>
        <v>201511021071</v>
      </c>
    </row>
    <row r="4474" spans="1:2" x14ac:dyDescent="0.25">
      <c r="A4474" s="3">
        <v>4469</v>
      </c>
      <c r="B4474" s="3" t="str">
        <f>"201511021323"</f>
        <v>201511021323</v>
      </c>
    </row>
    <row r="4475" spans="1:2" x14ac:dyDescent="0.25">
      <c r="A4475" s="3">
        <v>4470</v>
      </c>
      <c r="B4475" s="3" t="str">
        <f>"201511021371"</f>
        <v>201511021371</v>
      </c>
    </row>
    <row r="4476" spans="1:2" x14ac:dyDescent="0.25">
      <c r="A4476" s="3">
        <v>4471</v>
      </c>
      <c r="B4476" s="3" t="str">
        <f>"201511021424"</f>
        <v>201511021424</v>
      </c>
    </row>
    <row r="4477" spans="1:2" x14ac:dyDescent="0.25">
      <c r="A4477" s="3">
        <v>4472</v>
      </c>
      <c r="B4477" s="3" t="str">
        <f>"201511021440"</f>
        <v>201511021440</v>
      </c>
    </row>
    <row r="4478" spans="1:2" x14ac:dyDescent="0.25">
      <c r="A4478" s="3">
        <v>4473</v>
      </c>
      <c r="B4478" s="3" t="str">
        <f>"201511021495"</f>
        <v>201511021495</v>
      </c>
    </row>
    <row r="4479" spans="1:2" x14ac:dyDescent="0.25">
      <c r="A4479" s="3">
        <v>4474</v>
      </c>
      <c r="B4479" s="3" t="str">
        <f>"201511021524"</f>
        <v>201511021524</v>
      </c>
    </row>
    <row r="4480" spans="1:2" x14ac:dyDescent="0.25">
      <c r="A4480" s="3">
        <v>4475</v>
      </c>
      <c r="B4480" s="3" t="str">
        <f>"201511021526"</f>
        <v>201511021526</v>
      </c>
    </row>
    <row r="4481" spans="1:2" x14ac:dyDescent="0.25">
      <c r="A4481" s="3">
        <v>4476</v>
      </c>
      <c r="B4481" s="3" t="str">
        <f>"201511021533"</f>
        <v>201511021533</v>
      </c>
    </row>
    <row r="4482" spans="1:2" x14ac:dyDescent="0.25">
      <c r="A4482" s="3">
        <v>4477</v>
      </c>
      <c r="B4482" s="3" t="str">
        <f>"201511021555"</f>
        <v>201511021555</v>
      </c>
    </row>
    <row r="4483" spans="1:2" x14ac:dyDescent="0.25">
      <c r="A4483" s="3">
        <v>4478</v>
      </c>
      <c r="B4483" s="3" t="str">
        <f>"201511021837"</f>
        <v>201511021837</v>
      </c>
    </row>
    <row r="4484" spans="1:2" x14ac:dyDescent="0.25">
      <c r="A4484" s="3">
        <v>4479</v>
      </c>
      <c r="B4484" s="3" t="str">
        <f>"201511021909"</f>
        <v>201511021909</v>
      </c>
    </row>
    <row r="4485" spans="1:2" x14ac:dyDescent="0.25">
      <c r="A4485" s="3">
        <v>4480</v>
      </c>
      <c r="B4485" s="3" t="str">
        <f>"201511022014"</f>
        <v>201511022014</v>
      </c>
    </row>
    <row r="4486" spans="1:2" x14ac:dyDescent="0.25">
      <c r="A4486" s="3">
        <v>4481</v>
      </c>
      <c r="B4486" s="3" t="str">
        <f>"201511022126"</f>
        <v>201511022126</v>
      </c>
    </row>
    <row r="4487" spans="1:2" x14ac:dyDescent="0.25">
      <c r="A4487" s="3">
        <v>4482</v>
      </c>
      <c r="B4487" s="3" t="str">
        <f>"201511022132"</f>
        <v>201511022132</v>
      </c>
    </row>
    <row r="4488" spans="1:2" x14ac:dyDescent="0.25">
      <c r="A4488" s="3">
        <v>4483</v>
      </c>
      <c r="B4488" s="3" t="str">
        <f>"201511022151"</f>
        <v>201511022151</v>
      </c>
    </row>
    <row r="4489" spans="1:2" x14ac:dyDescent="0.25">
      <c r="A4489" s="3">
        <v>4484</v>
      </c>
      <c r="B4489" s="3" t="str">
        <f>"201511022176"</f>
        <v>201511022176</v>
      </c>
    </row>
    <row r="4490" spans="1:2" x14ac:dyDescent="0.25">
      <c r="A4490" s="3">
        <v>4485</v>
      </c>
      <c r="B4490" s="3" t="str">
        <f>"201511022269"</f>
        <v>201511022269</v>
      </c>
    </row>
    <row r="4491" spans="1:2" x14ac:dyDescent="0.25">
      <c r="A4491" s="3">
        <v>4486</v>
      </c>
      <c r="B4491" s="3" t="str">
        <f>"201511022307"</f>
        <v>201511022307</v>
      </c>
    </row>
    <row r="4492" spans="1:2" x14ac:dyDescent="0.25">
      <c r="A4492" s="3">
        <v>4487</v>
      </c>
      <c r="B4492" s="3" t="str">
        <f>"201511022405"</f>
        <v>201511022405</v>
      </c>
    </row>
    <row r="4493" spans="1:2" x14ac:dyDescent="0.25">
      <c r="A4493" s="3">
        <v>4488</v>
      </c>
      <c r="B4493" s="3" t="str">
        <f>"201511022483"</f>
        <v>201511022483</v>
      </c>
    </row>
    <row r="4494" spans="1:2" x14ac:dyDescent="0.25">
      <c r="A4494" s="3">
        <v>4489</v>
      </c>
      <c r="B4494" s="3" t="str">
        <f>"201511022531"</f>
        <v>201511022531</v>
      </c>
    </row>
    <row r="4495" spans="1:2" x14ac:dyDescent="0.25">
      <c r="A4495" s="3">
        <v>4490</v>
      </c>
      <c r="B4495" s="3" t="str">
        <f>"201511022626"</f>
        <v>201511022626</v>
      </c>
    </row>
    <row r="4496" spans="1:2" x14ac:dyDescent="0.25">
      <c r="A4496" s="3">
        <v>4491</v>
      </c>
      <c r="B4496" s="3" t="str">
        <f>"201511022636"</f>
        <v>201511022636</v>
      </c>
    </row>
    <row r="4497" spans="1:2" x14ac:dyDescent="0.25">
      <c r="A4497" s="3">
        <v>4492</v>
      </c>
      <c r="B4497" s="3" t="str">
        <f>"201511022650"</f>
        <v>201511022650</v>
      </c>
    </row>
    <row r="4498" spans="1:2" x14ac:dyDescent="0.25">
      <c r="A4498" s="3">
        <v>4493</v>
      </c>
      <c r="B4498" s="3" t="str">
        <f>"201511022668"</f>
        <v>201511022668</v>
      </c>
    </row>
    <row r="4499" spans="1:2" x14ac:dyDescent="0.25">
      <c r="A4499" s="3">
        <v>4494</v>
      </c>
      <c r="B4499" s="3" t="str">
        <f>"201511022692"</f>
        <v>201511022692</v>
      </c>
    </row>
    <row r="4500" spans="1:2" x14ac:dyDescent="0.25">
      <c r="A4500" s="3">
        <v>4495</v>
      </c>
      <c r="B4500" s="3" t="str">
        <f>"201511022700"</f>
        <v>201511022700</v>
      </c>
    </row>
    <row r="4501" spans="1:2" x14ac:dyDescent="0.25">
      <c r="A4501" s="3">
        <v>4496</v>
      </c>
      <c r="B4501" s="3" t="str">
        <f>"201511022720"</f>
        <v>201511022720</v>
      </c>
    </row>
    <row r="4502" spans="1:2" x14ac:dyDescent="0.25">
      <c r="A4502" s="3">
        <v>4497</v>
      </c>
      <c r="B4502" s="3" t="str">
        <f>"201511022767"</f>
        <v>201511022767</v>
      </c>
    </row>
    <row r="4503" spans="1:2" x14ac:dyDescent="0.25">
      <c r="A4503" s="3">
        <v>4498</v>
      </c>
      <c r="B4503" s="3" t="str">
        <f>"201511022797"</f>
        <v>201511022797</v>
      </c>
    </row>
    <row r="4504" spans="1:2" x14ac:dyDescent="0.25">
      <c r="A4504" s="3">
        <v>4499</v>
      </c>
      <c r="B4504" s="3" t="str">
        <f>"201511022835"</f>
        <v>201511022835</v>
      </c>
    </row>
    <row r="4505" spans="1:2" x14ac:dyDescent="0.25">
      <c r="A4505" s="3">
        <v>4500</v>
      </c>
      <c r="B4505" s="3" t="str">
        <f>"201511022906"</f>
        <v>201511022906</v>
      </c>
    </row>
    <row r="4506" spans="1:2" x14ac:dyDescent="0.25">
      <c r="A4506" s="3">
        <v>4501</v>
      </c>
      <c r="B4506" s="3" t="str">
        <f>"201511022907"</f>
        <v>201511022907</v>
      </c>
    </row>
    <row r="4507" spans="1:2" x14ac:dyDescent="0.25">
      <c r="A4507" s="3">
        <v>4502</v>
      </c>
      <c r="B4507" s="3" t="str">
        <f>"201511022939"</f>
        <v>201511022939</v>
      </c>
    </row>
    <row r="4508" spans="1:2" x14ac:dyDescent="0.25">
      <c r="A4508" s="3">
        <v>4503</v>
      </c>
      <c r="B4508" s="3" t="str">
        <f>"201511022940"</f>
        <v>201511022940</v>
      </c>
    </row>
    <row r="4509" spans="1:2" x14ac:dyDescent="0.25">
      <c r="A4509" s="3">
        <v>4504</v>
      </c>
      <c r="B4509" s="3" t="str">
        <f>"201511023039"</f>
        <v>201511023039</v>
      </c>
    </row>
    <row r="4510" spans="1:2" x14ac:dyDescent="0.25">
      <c r="A4510" s="3">
        <v>4505</v>
      </c>
      <c r="B4510" s="3" t="str">
        <f>"201511023117"</f>
        <v>201511023117</v>
      </c>
    </row>
    <row r="4511" spans="1:2" x14ac:dyDescent="0.25">
      <c r="A4511" s="3">
        <v>4506</v>
      </c>
      <c r="B4511" s="3" t="str">
        <f>"201511023189"</f>
        <v>201511023189</v>
      </c>
    </row>
    <row r="4512" spans="1:2" x14ac:dyDescent="0.25">
      <c r="A4512" s="3">
        <v>4507</v>
      </c>
      <c r="B4512" s="3" t="str">
        <f>"201511023222"</f>
        <v>201511023222</v>
      </c>
    </row>
    <row r="4513" spans="1:2" x14ac:dyDescent="0.25">
      <c r="A4513" s="3">
        <v>4508</v>
      </c>
      <c r="B4513" s="3" t="str">
        <f>"201511023260"</f>
        <v>201511023260</v>
      </c>
    </row>
    <row r="4514" spans="1:2" x14ac:dyDescent="0.25">
      <c r="A4514" s="3">
        <v>4509</v>
      </c>
      <c r="B4514" s="3" t="str">
        <f>"201511023304"</f>
        <v>201511023304</v>
      </c>
    </row>
    <row r="4515" spans="1:2" x14ac:dyDescent="0.25">
      <c r="A4515" s="3">
        <v>4510</v>
      </c>
      <c r="B4515" s="3" t="str">
        <f>"201511023320"</f>
        <v>201511023320</v>
      </c>
    </row>
    <row r="4516" spans="1:2" x14ac:dyDescent="0.25">
      <c r="A4516" s="3">
        <v>4511</v>
      </c>
      <c r="B4516" s="3" t="str">
        <f>"201511023355"</f>
        <v>201511023355</v>
      </c>
    </row>
    <row r="4517" spans="1:2" x14ac:dyDescent="0.25">
      <c r="A4517" s="3">
        <v>4512</v>
      </c>
      <c r="B4517" s="3" t="str">
        <f>"201511023370"</f>
        <v>201511023370</v>
      </c>
    </row>
    <row r="4518" spans="1:2" x14ac:dyDescent="0.25">
      <c r="A4518" s="3">
        <v>4513</v>
      </c>
      <c r="B4518" s="3" t="str">
        <f>"201511023451"</f>
        <v>201511023451</v>
      </c>
    </row>
    <row r="4519" spans="1:2" x14ac:dyDescent="0.25">
      <c r="A4519" s="3">
        <v>4514</v>
      </c>
      <c r="B4519" s="3" t="str">
        <f>"201511023486"</f>
        <v>201511023486</v>
      </c>
    </row>
    <row r="4520" spans="1:2" x14ac:dyDescent="0.25">
      <c r="A4520" s="3">
        <v>4515</v>
      </c>
      <c r="B4520" s="3" t="str">
        <f>"201511023531"</f>
        <v>201511023531</v>
      </c>
    </row>
    <row r="4521" spans="1:2" x14ac:dyDescent="0.25">
      <c r="A4521" s="3">
        <v>4516</v>
      </c>
      <c r="B4521" s="3" t="str">
        <f>"201511023563"</f>
        <v>201511023563</v>
      </c>
    </row>
    <row r="4522" spans="1:2" x14ac:dyDescent="0.25">
      <c r="A4522" s="3">
        <v>4517</v>
      </c>
      <c r="B4522" s="3" t="str">
        <f>"201511023591"</f>
        <v>201511023591</v>
      </c>
    </row>
    <row r="4523" spans="1:2" x14ac:dyDescent="0.25">
      <c r="A4523" s="3">
        <v>4518</v>
      </c>
      <c r="B4523" s="3" t="str">
        <f>"201511023631"</f>
        <v>201511023631</v>
      </c>
    </row>
    <row r="4524" spans="1:2" x14ac:dyDescent="0.25">
      <c r="A4524" s="3">
        <v>4519</v>
      </c>
      <c r="B4524" s="3" t="str">
        <f>"201511023666"</f>
        <v>201511023666</v>
      </c>
    </row>
    <row r="4525" spans="1:2" x14ac:dyDescent="0.25">
      <c r="A4525" s="3">
        <v>4520</v>
      </c>
      <c r="B4525" s="3" t="str">
        <f>"201511023753"</f>
        <v>201511023753</v>
      </c>
    </row>
    <row r="4526" spans="1:2" x14ac:dyDescent="0.25">
      <c r="A4526" s="3">
        <v>4521</v>
      </c>
      <c r="B4526" s="3" t="str">
        <f>"201511023852"</f>
        <v>201511023852</v>
      </c>
    </row>
    <row r="4527" spans="1:2" x14ac:dyDescent="0.25">
      <c r="A4527" s="3">
        <v>4522</v>
      </c>
      <c r="B4527" s="3" t="str">
        <f>"201511023981"</f>
        <v>201511023981</v>
      </c>
    </row>
    <row r="4528" spans="1:2" x14ac:dyDescent="0.25">
      <c r="A4528" s="3">
        <v>4523</v>
      </c>
      <c r="B4528" s="3" t="str">
        <f>"201511023997"</f>
        <v>201511023997</v>
      </c>
    </row>
    <row r="4529" spans="1:2" x14ac:dyDescent="0.25">
      <c r="A4529" s="3">
        <v>4524</v>
      </c>
      <c r="B4529" s="3" t="str">
        <f>"201511024082"</f>
        <v>201511024082</v>
      </c>
    </row>
    <row r="4530" spans="1:2" x14ac:dyDescent="0.25">
      <c r="A4530" s="3">
        <v>4525</v>
      </c>
      <c r="B4530" s="3" t="str">
        <f>"201511024223"</f>
        <v>201511024223</v>
      </c>
    </row>
    <row r="4531" spans="1:2" x14ac:dyDescent="0.25">
      <c r="A4531" s="3">
        <v>4526</v>
      </c>
      <c r="B4531" s="3" t="str">
        <f>"201511024251"</f>
        <v>201511024251</v>
      </c>
    </row>
    <row r="4532" spans="1:2" x14ac:dyDescent="0.25">
      <c r="A4532" s="3">
        <v>4527</v>
      </c>
      <c r="B4532" s="3" t="str">
        <f>"201511024255"</f>
        <v>201511024255</v>
      </c>
    </row>
    <row r="4533" spans="1:2" x14ac:dyDescent="0.25">
      <c r="A4533" s="3">
        <v>4528</v>
      </c>
      <c r="B4533" s="3" t="str">
        <f>"201511024447"</f>
        <v>201511024447</v>
      </c>
    </row>
    <row r="4534" spans="1:2" x14ac:dyDescent="0.25">
      <c r="A4534" s="3">
        <v>4529</v>
      </c>
      <c r="B4534" s="3" t="str">
        <f>"201511024471"</f>
        <v>201511024471</v>
      </c>
    </row>
    <row r="4535" spans="1:2" x14ac:dyDescent="0.25">
      <c r="A4535" s="3">
        <v>4530</v>
      </c>
      <c r="B4535" s="3" t="str">
        <f>"201511024524"</f>
        <v>201511024524</v>
      </c>
    </row>
    <row r="4536" spans="1:2" x14ac:dyDescent="0.25">
      <c r="A4536" s="3">
        <v>4531</v>
      </c>
      <c r="B4536" s="3" t="str">
        <f>"201511024537"</f>
        <v>201511024537</v>
      </c>
    </row>
    <row r="4537" spans="1:2" x14ac:dyDescent="0.25">
      <c r="A4537" s="3">
        <v>4532</v>
      </c>
      <c r="B4537" s="3" t="str">
        <f>"201511024573"</f>
        <v>201511024573</v>
      </c>
    </row>
    <row r="4538" spans="1:2" x14ac:dyDescent="0.25">
      <c r="A4538" s="3">
        <v>4533</v>
      </c>
      <c r="B4538" s="3" t="str">
        <f>"201511024583"</f>
        <v>201511024583</v>
      </c>
    </row>
    <row r="4539" spans="1:2" x14ac:dyDescent="0.25">
      <c r="A4539" s="3">
        <v>4534</v>
      </c>
      <c r="B4539" s="3" t="str">
        <f>"201511024599"</f>
        <v>201511024599</v>
      </c>
    </row>
    <row r="4540" spans="1:2" x14ac:dyDescent="0.25">
      <c r="A4540" s="3">
        <v>4535</v>
      </c>
      <c r="B4540" s="3" t="str">
        <f>"201511024609"</f>
        <v>201511024609</v>
      </c>
    </row>
    <row r="4541" spans="1:2" x14ac:dyDescent="0.25">
      <c r="A4541" s="3">
        <v>4536</v>
      </c>
      <c r="B4541" s="3" t="str">
        <f>"201511024627"</f>
        <v>201511024627</v>
      </c>
    </row>
    <row r="4542" spans="1:2" x14ac:dyDescent="0.25">
      <c r="A4542" s="3">
        <v>4537</v>
      </c>
      <c r="B4542" s="3" t="str">
        <f>"201511024637"</f>
        <v>201511024637</v>
      </c>
    </row>
    <row r="4543" spans="1:2" x14ac:dyDescent="0.25">
      <c r="A4543" s="3">
        <v>4538</v>
      </c>
      <c r="B4543" s="3" t="str">
        <f>"201511024643"</f>
        <v>201511024643</v>
      </c>
    </row>
    <row r="4544" spans="1:2" x14ac:dyDescent="0.25">
      <c r="A4544" s="3">
        <v>4539</v>
      </c>
      <c r="B4544" s="3" t="str">
        <f>"201511024653"</f>
        <v>201511024653</v>
      </c>
    </row>
    <row r="4545" spans="1:2" x14ac:dyDescent="0.25">
      <c r="A4545" s="3">
        <v>4540</v>
      </c>
      <c r="B4545" s="3" t="str">
        <f>"201511024734"</f>
        <v>201511024734</v>
      </c>
    </row>
    <row r="4546" spans="1:2" x14ac:dyDescent="0.25">
      <c r="A4546" s="3">
        <v>4541</v>
      </c>
      <c r="B4546" s="3" t="str">
        <f>"201511024737"</f>
        <v>201511024737</v>
      </c>
    </row>
    <row r="4547" spans="1:2" x14ac:dyDescent="0.25">
      <c r="A4547" s="3">
        <v>4542</v>
      </c>
      <c r="B4547" s="3" t="str">
        <f>"201511024812"</f>
        <v>201511024812</v>
      </c>
    </row>
    <row r="4548" spans="1:2" x14ac:dyDescent="0.25">
      <c r="A4548" s="3">
        <v>4543</v>
      </c>
      <c r="B4548" s="3" t="str">
        <f>"201511024842"</f>
        <v>201511024842</v>
      </c>
    </row>
    <row r="4549" spans="1:2" x14ac:dyDescent="0.25">
      <c r="A4549" s="3">
        <v>4544</v>
      </c>
      <c r="B4549" s="3" t="str">
        <f>"201511024853"</f>
        <v>201511024853</v>
      </c>
    </row>
    <row r="4550" spans="1:2" x14ac:dyDescent="0.25">
      <c r="A4550" s="3">
        <v>4545</v>
      </c>
      <c r="B4550" s="3" t="str">
        <f>"201511024857"</f>
        <v>201511024857</v>
      </c>
    </row>
    <row r="4551" spans="1:2" x14ac:dyDescent="0.25">
      <c r="A4551" s="3">
        <v>4546</v>
      </c>
      <c r="B4551" s="3" t="str">
        <f>"201511024864"</f>
        <v>201511024864</v>
      </c>
    </row>
    <row r="4552" spans="1:2" x14ac:dyDescent="0.25">
      <c r="A4552" s="3">
        <v>4547</v>
      </c>
      <c r="B4552" s="3" t="str">
        <f>"201511024956"</f>
        <v>201511024956</v>
      </c>
    </row>
    <row r="4553" spans="1:2" x14ac:dyDescent="0.25">
      <c r="A4553" s="3">
        <v>4548</v>
      </c>
      <c r="B4553" s="3" t="str">
        <f>"201511024974"</f>
        <v>201511024974</v>
      </c>
    </row>
    <row r="4554" spans="1:2" x14ac:dyDescent="0.25">
      <c r="A4554" s="3">
        <v>4549</v>
      </c>
      <c r="B4554" s="3" t="str">
        <f>"201511025013"</f>
        <v>201511025013</v>
      </c>
    </row>
    <row r="4555" spans="1:2" x14ac:dyDescent="0.25">
      <c r="A4555" s="3">
        <v>4550</v>
      </c>
      <c r="B4555" s="3" t="str">
        <f>"201511025036"</f>
        <v>201511025036</v>
      </c>
    </row>
    <row r="4556" spans="1:2" x14ac:dyDescent="0.25">
      <c r="A4556" s="3">
        <v>4551</v>
      </c>
      <c r="B4556" s="3" t="str">
        <f>"201511025071"</f>
        <v>201511025071</v>
      </c>
    </row>
    <row r="4557" spans="1:2" x14ac:dyDescent="0.25">
      <c r="A4557" s="3">
        <v>4552</v>
      </c>
      <c r="B4557" s="3" t="str">
        <f>"201511025075"</f>
        <v>201511025075</v>
      </c>
    </row>
    <row r="4558" spans="1:2" x14ac:dyDescent="0.25">
      <c r="A4558" s="3">
        <v>4553</v>
      </c>
      <c r="B4558" s="3" t="str">
        <f>"201511025109"</f>
        <v>201511025109</v>
      </c>
    </row>
    <row r="4559" spans="1:2" x14ac:dyDescent="0.25">
      <c r="A4559" s="3">
        <v>4554</v>
      </c>
      <c r="B4559" s="3" t="str">
        <f>"201511025128"</f>
        <v>201511025128</v>
      </c>
    </row>
    <row r="4560" spans="1:2" x14ac:dyDescent="0.25">
      <c r="A4560" s="3">
        <v>4555</v>
      </c>
      <c r="B4560" s="3" t="str">
        <f>"201511025134"</f>
        <v>201511025134</v>
      </c>
    </row>
    <row r="4561" spans="1:2" x14ac:dyDescent="0.25">
      <c r="A4561" s="3">
        <v>4556</v>
      </c>
      <c r="B4561" s="3" t="str">
        <f>"201511025239"</f>
        <v>201511025239</v>
      </c>
    </row>
    <row r="4562" spans="1:2" x14ac:dyDescent="0.25">
      <c r="A4562" s="3">
        <v>4557</v>
      </c>
      <c r="B4562" s="3" t="str">
        <f>"201511025255"</f>
        <v>201511025255</v>
      </c>
    </row>
    <row r="4563" spans="1:2" x14ac:dyDescent="0.25">
      <c r="A4563" s="3">
        <v>4558</v>
      </c>
      <c r="B4563" s="3" t="str">
        <f>"201511025277"</f>
        <v>201511025277</v>
      </c>
    </row>
    <row r="4564" spans="1:2" x14ac:dyDescent="0.25">
      <c r="A4564" s="3">
        <v>4559</v>
      </c>
      <c r="B4564" s="3" t="str">
        <f>"201511025278"</f>
        <v>201511025278</v>
      </c>
    </row>
    <row r="4565" spans="1:2" x14ac:dyDescent="0.25">
      <c r="A4565" s="3">
        <v>4560</v>
      </c>
      <c r="B4565" s="3" t="str">
        <f>"201511025279"</f>
        <v>201511025279</v>
      </c>
    </row>
    <row r="4566" spans="1:2" x14ac:dyDescent="0.25">
      <c r="A4566" s="3">
        <v>4561</v>
      </c>
      <c r="B4566" s="3" t="str">
        <f>"201511025288"</f>
        <v>201511025288</v>
      </c>
    </row>
    <row r="4567" spans="1:2" x14ac:dyDescent="0.25">
      <c r="A4567" s="3">
        <v>4562</v>
      </c>
      <c r="B4567" s="3" t="str">
        <f>"201511025298"</f>
        <v>201511025298</v>
      </c>
    </row>
    <row r="4568" spans="1:2" x14ac:dyDescent="0.25">
      <c r="A4568" s="3">
        <v>4563</v>
      </c>
      <c r="B4568" s="3" t="str">
        <f>"201511025308"</f>
        <v>201511025308</v>
      </c>
    </row>
    <row r="4569" spans="1:2" x14ac:dyDescent="0.25">
      <c r="A4569" s="3">
        <v>4564</v>
      </c>
      <c r="B4569" s="3" t="str">
        <f>"201511025368"</f>
        <v>201511025368</v>
      </c>
    </row>
    <row r="4570" spans="1:2" x14ac:dyDescent="0.25">
      <c r="A4570" s="3">
        <v>4565</v>
      </c>
      <c r="B4570" s="3" t="str">
        <f>"201511025373"</f>
        <v>201511025373</v>
      </c>
    </row>
    <row r="4571" spans="1:2" x14ac:dyDescent="0.25">
      <c r="A4571" s="3">
        <v>4566</v>
      </c>
      <c r="B4571" s="3" t="str">
        <f>"201511025418"</f>
        <v>201511025418</v>
      </c>
    </row>
    <row r="4572" spans="1:2" x14ac:dyDescent="0.25">
      <c r="A4572" s="3">
        <v>4567</v>
      </c>
      <c r="B4572" s="3" t="str">
        <f>"201511025452"</f>
        <v>201511025452</v>
      </c>
    </row>
    <row r="4573" spans="1:2" x14ac:dyDescent="0.25">
      <c r="A4573" s="3">
        <v>4568</v>
      </c>
      <c r="B4573" s="3" t="str">
        <f>"201511025516"</f>
        <v>201511025516</v>
      </c>
    </row>
    <row r="4574" spans="1:2" x14ac:dyDescent="0.25">
      <c r="A4574" s="3">
        <v>4569</v>
      </c>
      <c r="B4574" s="3" t="str">
        <f>"201511025526"</f>
        <v>201511025526</v>
      </c>
    </row>
    <row r="4575" spans="1:2" x14ac:dyDescent="0.25">
      <c r="A4575" s="3">
        <v>4570</v>
      </c>
      <c r="B4575" s="3" t="str">
        <f>"201511025537"</f>
        <v>201511025537</v>
      </c>
    </row>
    <row r="4576" spans="1:2" x14ac:dyDescent="0.25">
      <c r="A4576" s="3">
        <v>4571</v>
      </c>
      <c r="B4576" s="3" t="str">
        <f>"201511025566"</f>
        <v>201511025566</v>
      </c>
    </row>
    <row r="4577" spans="1:2" x14ac:dyDescent="0.25">
      <c r="A4577" s="3">
        <v>4572</v>
      </c>
      <c r="B4577" s="3" t="str">
        <f>"201511025590"</f>
        <v>201511025590</v>
      </c>
    </row>
    <row r="4578" spans="1:2" x14ac:dyDescent="0.25">
      <c r="A4578" s="3">
        <v>4573</v>
      </c>
      <c r="B4578" s="3" t="str">
        <f>"201511025612"</f>
        <v>201511025612</v>
      </c>
    </row>
    <row r="4579" spans="1:2" x14ac:dyDescent="0.25">
      <c r="A4579" s="3">
        <v>4574</v>
      </c>
      <c r="B4579" s="3" t="str">
        <f>"201511025648"</f>
        <v>201511025648</v>
      </c>
    </row>
    <row r="4580" spans="1:2" x14ac:dyDescent="0.25">
      <c r="A4580" s="3">
        <v>4575</v>
      </c>
      <c r="B4580" s="3" t="str">
        <f>"201511025698"</f>
        <v>201511025698</v>
      </c>
    </row>
    <row r="4581" spans="1:2" x14ac:dyDescent="0.25">
      <c r="A4581" s="3">
        <v>4576</v>
      </c>
      <c r="B4581" s="3" t="str">
        <f>"201511025707"</f>
        <v>201511025707</v>
      </c>
    </row>
    <row r="4582" spans="1:2" x14ac:dyDescent="0.25">
      <c r="A4582" s="3">
        <v>4577</v>
      </c>
      <c r="B4582" s="3" t="str">
        <f>"201511025732"</f>
        <v>201511025732</v>
      </c>
    </row>
    <row r="4583" spans="1:2" x14ac:dyDescent="0.25">
      <c r="A4583" s="3">
        <v>4578</v>
      </c>
      <c r="B4583" s="3" t="str">
        <f>"201511025742"</f>
        <v>201511025742</v>
      </c>
    </row>
    <row r="4584" spans="1:2" x14ac:dyDescent="0.25">
      <c r="A4584" s="3">
        <v>4579</v>
      </c>
      <c r="B4584" s="3" t="str">
        <f>"201511025743"</f>
        <v>201511025743</v>
      </c>
    </row>
    <row r="4585" spans="1:2" x14ac:dyDescent="0.25">
      <c r="A4585" s="3">
        <v>4580</v>
      </c>
      <c r="B4585" s="3" t="str">
        <f>"201511025829"</f>
        <v>201511025829</v>
      </c>
    </row>
    <row r="4586" spans="1:2" x14ac:dyDescent="0.25">
      <c r="A4586" s="3">
        <v>4581</v>
      </c>
      <c r="B4586" s="3" t="str">
        <f>"201511025839"</f>
        <v>201511025839</v>
      </c>
    </row>
    <row r="4587" spans="1:2" x14ac:dyDescent="0.25">
      <c r="A4587" s="3">
        <v>4582</v>
      </c>
      <c r="B4587" s="3" t="str">
        <f>"201511025853"</f>
        <v>201511025853</v>
      </c>
    </row>
    <row r="4588" spans="1:2" x14ac:dyDescent="0.25">
      <c r="A4588" s="3">
        <v>4583</v>
      </c>
      <c r="B4588" s="3" t="str">
        <f>"201511025885"</f>
        <v>201511025885</v>
      </c>
    </row>
    <row r="4589" spans="1:2" x14ac:dyDescent="0.25">
      <c r="A4589" s="3">
        <v>4584</v>
      </c>
      <c r="B4589" s="3" t="str">
        <f>"201511025925"</f>
        <v>201511025925</v>
      </c>
    </row>
    <row r="4590" spans="1:2" x14ac:dyDescent="0.25">
      <c r="A4590" s="3">
        <v>4585</v>
      </c>
      <c r="B4590" s="3" t="str">
        <f>"201511025958"</f>
        <v>201511025958</v>
      </c>
    </row>
    <row r="4591" spans="1:2" x14ac:dyDescent="0.25">
      <c r="A4591" s="3">
        <v>4586</v>
      </c>
      <c r="B4591" s="3" t="str">
        <f>"201511025983"</f>
        <v>201511025983</v>
      </c>
    </row>
    <row r="4592" spans="1:2" x14ac:dyDescent="0.25">
      <c r="A4592" s="3">
        <v>4587</v>
      </c>
      <c r="B4592" s="3" t="str">
        <f>"201511025996"</f>
        <v>201511025996</v>
      </c>
    </row>
    <row r="4593" spans="1:2" x14ac:dyDescent="0.25">
      <c r="A4593" s="3">
        <v>4588</v>
      </c>
      <c r="B4593" s="3" t="str">
        <f>"201511026025"</f>
        <v>201511026025</v>
      </c>
    </row>
    <row r="4594" spans="1:2" x14ac:dyDescent="0.25">
      <c r="A4594" s="3">
        <v>4589</v>
      </c>
      <c r="B4594" s="3" t="str">
        <f>"201511026026"</f>
        <v>201511026026</v>
      </c>
    </row>
    <row r="4595" spans="1:2" x14ac:dyDescent="0.25">
      <c r="A4595" s="3">
        <v>4590</v>
      </c>
      <c r="B4595" s="3" t="str">
        <f>"201511026035"</f>
        <v>201511026035</v>
      </c>
    </row>
    <row r="4596" spans="1:2" x14ac:dyDescent="0.25">
      <c r="A4596" s="3">
        <v>4591</v>
      </c>
      <c r="B4596" s="3" t="str">
        <f>"201511026084"</f>
        <v>201511026084</v>
      </c>
    </row>
    <row r="4597" spans="1:2" x14ac:dyDescent="0.25">
      <c r="A4597" s="3">
        <v>4592</v>
      </c>
      <c r="B4597" s="3" t="str">
        <f>"201511026100"</f>
        <v>201511026100</v>
      </c>
    </row>
    <row r="4598" spans="1:2" x14ac:dyDescent="0.25">
      <c r="A4598" s="3">
        <v>4593</v>
      </c>
      <c r="B4598" s="3" t="str">
        <f>"201511026121"</f>
        <v>201511026121</v>
      </c>
    </row>
    <row r="4599" spans="1:2" x14ac:dyDescent="0.25">
      <c r="A4599" s="3">
        <v>4594</v>
      </c>
      <c r="B4599" s="3" t="str">
        <f>"201511026127"</f>
        <v>201511026127</v>
      </c>
    </row>
    <row r="4600" spans="1:2" x14ac:dyDescent="0.25">
      <c r="A4600" s="3">
        <v>4595</v>
      </c>
      <c r="B4600" s="3" t="str">
        <f>"201511026194"</f>
        <v>201511026194</v>
      </c>
    </row>
    <row r="4601" spans="1:2" x14ac:dyDescent="0.25">
      <c r="A4601" s="3">
        <v>4596</v>
      </c>
      <c r="B4601" s="3" t="str">
        <f>"201511026205"</f>
        <v>201511026205</v>
      </c>
    </row>
    <row r="4602" spans="1:2" x14ac:dyDescent="0.25">
      <c r="A4602" s="3">
        <v>4597</v>
      </c>
      <c r="B4602" s="3" t="str">
        <f>"201511026221"</f>
        <v>201511026221</v>
      </c>
    </row>
    <row r="4603" spans="1:2" x14ac:dyDescent="0.25">
      <c r="A4603" s="3">
        <v>4598</v>
      </c>
      <c r="B4603" s="3" t="str">
        <f>"201511026231"</f>
        <v>201511026231</v>
      </c>
    </row>
    <row r="4604" spans="1:2" x14ac:dyDescent="0.25">
      <c r="A4604" s="3">
        <v>4599</v>
      </c>
      <c r="B4604" s="3" t="str">
        <f>"201511026265"</f>
        <v>201511026265</v>
      </c>
    </row>
    <row r="4605" spans="1:2" x14ac:dyDescent="0.25">
      <c r="A4605" s="3">
        <v>4600</v>
      </c>
      <c r="B4605" s="3" t="str">
        <f>"201511026333"</f>
        <v>201511026333</v>
      </c>
    </row>
    <row r="4606" spans="1:2" x14ac:dyDescent="0.25">
      <c r="A4606" s="3">
        <v>4601</v>
      </c>
      <c r="B4606" s="3" t="str">
        <f>"201511026354"</f>
        <v>201511026354</v>
      </c>
    </row>
    <row r="4607" spans="1:2" x14ac:dyDescent="0.25">
      <c r="A4607" s="3">
        <v>4602</v>
      </c>
      <c r="B4607" s="3" t="str">
        <f>"201511026395"</f>
        <v>201511026395</v>
      </c>
    </row>
    <row r="4608" spans="1:2" x14ac:dyDescent="0.25">
      <c r="A4608" s="3">
        <v>4603</v>
      </c>
      <c r="B4608" s="3" t="str">
        <f>"201511026412"</f>
        <v>201511026412</v>
      </c>
    </row>
    <row r="4609" spans="1:2" x14ac:dyDescent="0.25">
      <c r="A4609" s="3">
        <v>4604</v>
      </c>
      <c r="B4609" s="3" t="str">
        <f>"201511026420"</f>
        <v>201511026420</v>
      </c>
    </row>
    <row r="4610" spans="1:2" x14ac:dyDescent="0.25">
      <c r="A4610" s="3">
        <v>4605</v>
      </c>
      <c r="B4610" s="3" t="str">
        <f>"201511026429"</f>
        <v>201511026429</v>
      </c>
    </row>
    <row r="4611" spans="1:2" x14ac:dyDescent="0.25">
      <c r="A4611" s="3">
        <v>4606</v>
      </c>
      <c r="B4611" s="3" t="str">
        <f>"201511026441"</f>
        <v>201511026441</v>
      </c>
    </row>
    <row r="4612" spans="1:2" x14ac:dyDescent="0.25">
      <c r="A4612" s="3">
        <v>4607</v>
      </c>
      <c r="B4612" s="3" t="str">
        <f>"201511026445"</f>
        <v>201511026445</v>
      </c>
    </row>
    <row r="4613" spans="1:2" x14ac:dyDescent="0.25">
      <c r="A4613" s="3">
        <v>4608</v>
      </c>
      <c r="B4613" s="3" t="str">
        <f>"201511026482"</f>
        <v>201511026482</v>
      </c>
    </row>
    <row r="4614" spans="1:2" x14ac:dyDescent="0.25">
      <c r="A4614" s="3">
        <v>4609</v>
      </c>
      <c r="B4614" s="3" t="str">
        <f>"201511026552"</f>
        <v>201511026552</v>
      </c>
    </row>
    <row r="4615" spans="1:2" x14ac:dyDescent="0.25">
      <c r="A4615" s="3">
        <v>4610</v>
      </c>
      <c r="B4615" s="3" t="str">
        <f>"201511026577"</f>
        <v>201511026577</v>
      </c>
    </row>
    <row r="4616" spans="1:2" x14ac:dyDescent="0.25">
      <c r="A4616" s="3">
        <v>4611</v>
      </c>
      <c r="B4616" s="3" t="str">
        <f>"201511026579"</f>
        <v>201511026579</v>
      </c>
    </row>
    <row r="4617" spans="1:2" x14ac:dyDescent="0.25">
      <c r="A4617" s="3">
        <v>4612</v>
      </c>
      <c r="B4617" s="3" t="str">
        <f>"201511026609"</f>
        <v>201511026609</v>
      </c>
    </row>
    <row r="4618" spans="1:2" x14ac:dyDescent="0.25">
      <c r="A4618" s="3">
        <v>4613</v>
      </c>
      <c r="B4618" s="3" t="str">
        <f>"201511026622"</f>
        <v>201511026622</v>
      </c>
    </row>
    <row r="4619" spans="1:2" x14ac:dyDescent="0.25">
      <c r="A4619" s="3">
        <v>4614</v>
      </c>
      <c r="B4619" s="3" t="str">
        <f>"201511026664"</f>
        <v>201511026664</v>
      </c>
    </row>
    <row r="4620" spans="1:2" x14ac:dyDescent="0.25">
      <c r="A4620" s="3">
        <v>4615</v>
      </c>
      <c r="B4620" s="3" t="str">
        <f>"201511026702"</f>
        <v>201511026702</v>
      </c>
    </row>
    <row r="4621" spans="1:2" x14ac:dyDescent="0.25">
      <c r="A4621" s="3">
        <v>4616</v>
      </c>
      <c r="B4621" s="3" t="str">
        <f>"201511026755"</f>
        <v>201511026755</v>
      </c>
    </row>
    <row r="4622" spans="1:2" x14ac:dyDescent="0.25">
      <c r="A4622" s="3">
        <v>4617</v>
      </c>
      <c r="B4622" s="3" t="str">
        <f>"201511026758"</f>
        <v>201511026758</v>
      </c>
    </row>
    <row r="4623" spans="1:2" x14ac:dyDescent="0.25">
      <c r="A4623" s="3">
        <v>4618</v>
      </c>
      <c r="B4623" s="3" t="str">
        <f>"201511026767"</f>
        <v>201511026767</v>
      </c>
    </row>
    <row r="4624" spans="1:2" x14ac:dyDescent="0.25">
      <c r="A4624" s="3">
        <v>4619</v>
      </c>
      <c r="B4624" s="3" t="str">
        <f>"201511026822"</f>
        <v>201511026822</v>
      </c>
    </row>
    <row r="4625" spans="1:2" x14ac:dyDescent="0.25">
      <c r="A4625" s="3">
        <v>4620</v>
      </c>
      <c r="B4625" s="3" t="str">
        <f>"201511026839"</f>
        <v>201511026839</v>
      </c>
    </row>
    <row r="4626" spans="1:2" x14ac:dyDescent="0.25">
      <c r="A4626" s="3">
        <v>4621</v>
      </c>
      <c r="B4626" s="3" t="str">
        <f>"201511026870"</f>
        <v>201511026870</v>
      </c>
    </row>
    <row r="4627" spans="1:2" x14ac:dyDescent="0.25">
      <c r="A4627" s="3">
        <v>4622</v>
      </c>
      <c r="B4627" s="3" t="str">
        <f>"201511026871"</f>
        <v>201511026871</v>
      </c>
    </row>
    <row r="4628" spans="1:2" x14ac:dyDescent="0.25">
      <c r="A4628" s="3">
        <v>4623</v>
      </c>
      <c r="B4628" s="3" t="str">
        <f>"201511026954"</f>
        <v>201511026954</v>
      </c>
    </row>
    <row r="4629" spans="1:2" x14ac:dyDescent="0.25">
      <c r="A4629" s="3">
        <v>4624</v>
      </c>
      <c r="B4629" s="3" t="str">
        <f>"201511026981"</f>
        <v>201511026981</v>
      </c>
    </row>
    <row r="4630" spans="1:2" x14ac:dyDescent="0.25">
      <c r="A4630" s="3">
        <v>4625</v>
      </c>
      <c r="B4630" s="3" t="str">
        <f>"201511026986"</f>
        <v>201511026986</v>
      </c>
    </row>
    <row r="4631" spans="1:2" x14ac:dyDescent="0.25">
      <c r="A4631" s="3">
        <v>4626</v>
      </c>
      <c r="B4631" s="3" t="str">
        <f>"201511026988"</f>
        <v>201511026988</v>
      </c>
    </row>
    <row r="4632" spans="1:2" x14ac:dyDescent="0.25">
      <c r="A4632" s="3">
        <v>4627</v>
      </c>
      <c r="B4632" s="3" t="str">
        <f>"201511027012"</f>
        <v>201511027012</v>
      </c>
    </row>
    <row r="4633" spans="1:2" x14ac:dyDescent="0.25">
      <c r="A4633" s="3">
        <v>4628</v>
      </c>
      <c r="B4633" s="3" t="str">
        <f>"201511027023"</f>
        <v>201511027023</v>
      </c>
    </row>
    <row r="4634" spans="1:2" x14ac:dyDescent="0.25">
      <c r="A4634" s="3">
        <v>4629</v>
      </c>
      <c r="B4634" s="3" t="str">
        <f>"201511027041"</f>
        <v>201511027041</v>
      </c>
    </row>
    <row r="4635" spans="1:2" x14ac:dyDescent="0.25">
      <c r="A4635" s="3">
        <v>4630</v>
      </c>
      <c r="B4635" s="3" t="str">
        <f>"201511027056"</f>
        <v>201511027056</v>
      </c>
    </row>
    <row r="4636" spans="1:2" x14ac:dyDescent="0.25">
      <c r="A4636" s="3">
        <v>4631</v>
      </c>
      <c r="B4636" s="3" t="str">
        <f>"201511027083"</f>
        <v>201511027083</v>
      </c>
    </row>
    <row r="4637" spans="1:2" x14ac:dyDescent="0.25">
      <c r="A4637" s="3">
        <v>4632</v>
      </c>
      <c r="B4637" s="3" t="str">
        <f>"201511027091"</f>
        <v>201511027091</v>
      </c>
    </row>
    <row r="4638" spans="1:2" x14ac:dyDescent="0.25">
      <c r="A4638" s="3">
        <v>4633</v>
      </c>
      <c r="B4638" s="3" t="str">
        <f>"201511027111"</f>
        <v>201511027111</v>
      </c>
    </row>
    <row r="4639" spans="1:2" x14ac:dyDescent="0.25">
      <c r="A4639" s="3">
        <v>4634</v>
      </c>
      <c r="B4639" s="3" t="str">
        <f>"201511027121"</f>
        <v>201511027121</v>
      </c>
    </row>
    <row r="4640" spans="1:2" x14ac:dyDescent="0.25">
      <c r="A4640" s="3">
        <v>4635</v>
      </c>
      <c r="B4640" s="3" t="str">
        <f>"201511027145"</f>
        <v>201511027145</v>
      </c>
    </row>
    <row r="4641" spans="1:2" x14ac:dyDescent="0.25">
      <c r="A4641" s="3">
        <v>4636</v>
      </c>
      <c r="B4641" s="3" t="str">
        <f>"201511027171"</f>
        <v>201511027171</v>
      </c>
    </row>
    <row r="4642" spans="1:2" x14ac:dyDescent="0.25">
      <c r="A4642" s="3">
        <v>4637</v>
      </c>
      <c r="B4642" s="3" t="str">
        <f>"201511027188"</f>
        <v>201511027188</v>
      </c>
    </row>
    <row r="4643" spans="1:2" x14ac:dyDescent="0.25">
      <c r="A4643" s="3">
        <v>4638</v>
      </c>
      <c r="B4643" s="3" t="str">
        <f>"201511027205"</f>
        <v>201511027205</v>
      </c>
    </row>
    <row r="4644" spans="1:2" x14ac:dyDescent="0.25">
      <c r="A4644" s="3">
        <v>4639</v>
      </c>
      <c r="B4644" s="3" t="str">
        <f>"201511027226"</f>
        <v>201511027226</v>
      </c>
    </row>
    <row r="4645" spans="1:2" x14ac:dyDescent="0.25">
      <c r="A4645" s="3">
        <v>4640</v>
      </c>
      <c r="B4645" s="3" t="str">
        <f>"201511027228"</f>
        <v>201511027228</v>
      </c>
    </row>
    <row r="4646" spans="1:2" x14ac:dyDescent="0.25">
      <c r="A4646" s="3">
        <v>4641</v>
      </c>
      <c r="B4646" s="3" t="str">
        <f>"201511027236"</f>
        <v>201511027236</v>
      </c>
    </row>
    <row r="4647" spans="1:2" x14ac:dyDescent="0.25">
      <c r="A4647" s="3">
        <v>4642</v>
      </c>
      <c r="B4647" s="3" t="str">
        <f>"201511027278"</f>
        <v>201511027278</v>
      </c>
    </row>
    <row r="4648" spans="1:2" x14ac:dyDescent="0.25">
      <c r="A4648" s="3">
        <v>4643</v>
      </c>
      <c r="B4648" s="3" t="str">
        <f>"201511027324"</f>
        <v>201511027324</v>
      </c>
    </row>
    <row r="4649" spans="1:2" x14ac:dyDescent="0.25">
      <c r="A4649" s="3">
        <v>4644</v>
      </c>
      <c r="B4649" s="3" t="str">
        <f>"201511027389"</f>
        <v>201511027389</v>
      </c>
    </row>
    <row r="4650" spans="1:2" x14ac:dyDescent="0.25">
      <c r="A4650" s="3">
        <v>4645</v>
      </c>
      <c r="B4650" s="3" t="str">
        <f>"201511027400"</f>
        <v>201511027400</v>
      </c>
    </row>
    <row r="4651" spans="1:2" x14ac:dyDescent="0.25">
      <c r="A4651" s="3">
        <v>4646</v>
      </c>
      <c r="B4651" s="3" t="str">
        <f>"201511027406"</f>
        <v>201511027406</v>
      </c>
    </row>
    <row r="4652" spans="1:2" x14ac:dyDescent="0.25">
      <c r="A4652" s="3">
        <v>4647</v>
      </c>
      <c r="B4652" s="3" t="str">
        <f>"201511027496"</f>
        <v>201511027496</v>
      </c>
    </row>
    <row r="4653" spans="1:2" x14ac:dyDescent="0.25">
      <c r="A4653" s="3">
        <v>4648</v>
      </c>
      <c r="B4653" s="3" t="str">
        <f>"201511027539"</f>
        <v>201511027539</v>
      </c>
    </row>
    <row r="4654" spans="1:2" x14ac:dyDescent="0.25">
      <c r="A4654" s="3">
        <v>4649</v>
      </c>
      <c r="B4654" s="3" t="str">
        <f>"201511027578"</f>
        <v>201511027578</v>
      </c>
    </row>
    <row r="4655" spans="1:2" x14ac:dyDescent="0.25">
      <c r="A4655" s="3">
        <v>4650</v>
      </c>
      <c r="B4655" s="3" t="str">
        <f>"201511027594"</f>
        <v>201511027594</v>
      </c>
    </row>
    <row r="4656" spans="1:2" x14ac:dyDescent="0.25">
      <c r="A4656" s="3">
        <v>4651</v>
      </c>
      <c r="B4656" s="3" t="str">
        <f>"201511027606"</f>
        <v>201511027606</v>
      </c>
    </row>
    <row r="4657" spans="1:2" x14ac:dyDescent="0.25">
      <c r="A4657" s="3">
        <v>4652</v>
      </c>
      <c r="B4657" s="3" t="str">
        <f>"201511027608"</f>
        <v>201511027608</v>
      </c>
    </row>
    <row r="4658" spans="1:2" x14ac:dyDescent="0.25">
      <c r="A4658" s="3">
        <v>4653</v>
      </c>
      <c r="B4658" s="3" t="str">
        <f>"201511027617"</f>
        <v>201511027617</v>
      </c>
    </row>
    <row r="4659" spans="1:2" x14ac:dyDescent="0.25">
      <c r="A4659" s="3">
        <v>4654</v>
      </c>
      <c r="B4659" s="3" t="str">
        <f>"201511027679"</f>
        <v>201511027679</v>
      </c>
    </row>
    <row r="4660" spans="1:2" x14ac:dyDescent="0.25">
      <c r="A4660" s="3">
        <v>4655</v>
      </c>
      <c r="B4660" s="3" t="str">
        <f>"201511027691"</f>
        <v>201511027691</v>
      </c>
    </row>
    <row r="4661" spans="1:2" x14ac:dyDescent="0.25">
      <c r="A4661" s="3">
        <v>4656</v>
      </c>
      <c r="B4661" s="3" t="str">
        <f>"201511027727"</f>
        <v>201511027727</v>
      </c>
    </row>
    <row r="4662" spans="1:2" x14ac:dyDescent="0.25">
      <c r="A4662" s="3">
        <v>4657</v>
      </c>
      <c r="B4662" s="3" t="str">
        <f>"201511027739"</f>
        <v>201511027739</v>
      </c>
    </row>
    <row r="4663" spans="1:2" x14ac:dyDescent="0.25">
      <c r="A4663" s="3">
        <v>4658</v>
      </c>
      <c r="B4663" s="3" t="str">
        <f>"201511027743"</f>
        <v>201511027743</v>
      </c>
    </row>
    <row r="4664" spans="1:2" x14ac:dyDescent="0.25">
      <c r="A4664" s="3">
        <v>4659</v>
      </c>
      <c r="B4664" s="3" t="str">
        <f>"201511027774"</f>
        <v>201511027774</v>
      </c>
    </row>
    <row r="4665" spans="1:2" x14ac:dyDescent="0.25">
      <c r="A4665" s="3">
        <v>4660</v>
      </c>
      <c r="B4665" s="3" t="str">
        <f>"201511027815"</f>
        <v>201511027815</v>
      </c>
    </row>
    <row r="4666" spans="1:2" x14ac:dyDescent="0.25">
      <c r="A4666" s="3">
        <v>4661</v>
      </c>
      <c r="B4666" s="3" t="str">
        <f>"201511027821"</f>
        <v>201511027821</v>
      </c>
    </row>
    <row r="4667" spans="1:2" x14ac:dyDescent="0.25">
      <c r="A4667" s="3">
        <v>4662</v>
      </c>
      <c r="B4667" s="3" t="str">
        <f>"201511027839"</f>
        <v>201511027839</v>
      </c>
    </row>
    <row r="4668" spans="1:2" x14ac:dyDescent="0.25">
      <c r="A4668" s="3">
        <v>4663</v>
      </c>
      <c r="B4668" s="3" t="str">
        <f>"201511027849"</f>
        <v>201511027849</v>
      </c>
    </row>
    <row r="4669" spans="1:2" x14ac:dyDescent="0.25">
      <c r="A4669" s="3">
        <v>4664</v>
      </c>
      <c r="B4669" s="3" t="str">
        <f>"201511027873"</f>
        <v>201511027873</v>
      </c>
    </row>
    <row r="4670" spans="1:2" x14ac:dyDescent="0.25">
      <c r="A4670" s="3">
        <v>4665</v>
      </c>
      <c r="B4670" s="3" t="str">
        <f>"201511027891"</f>
        <v>201511027891</v>
      </c>
    </row>
    <row r="4671" spans="1:2" x14ac:dyDescent="0.25">
      <c r="A4671" s="3">
        <v>4666</v>
      </c>
      <c r="B4671" s="3" t="str">
        <f>"201511027917"</f>
        <v>201511027917</v>
      </c>
    </row>
    <row r="4672" spans="1:2" x14ac:dyDescent="0.25">
      <c r="A4672" s="3">
        <v>4667</v>
      </c>
      <c r="B4672" s="3" t="str">
        <f>"201511027929"</f>
        <v>201511027929</v>
      </c>
    </row>
    <row r="4673" spans="1:2" x14ac:dyDescent="0.25">
      <c r="A4673" s="3">
        <v>4668</v>
      </c>
      <c r="B4673" s="3" t="str">
        <f>"201511027932"</f>
        <v>201511027932</v>
      </c>
    </row>
    <row r="4674" spans="1:2" x14ac:dyDescent="0.25">
      <c r="A4674" s="3">
        <v>4669</v>
      </c>
      <c r="B4674" s="3" t="str">
        <f>"201511027976"</f>
        <v>201511027976</v>
      </c>
    </row>
    <row r="4675" spans="1:2" x14ac:dyDescent="0.25">
      <c r="A4675" s="3">
        <v>4670</v>
      </c>
      <c r="B4675" s="3" t="str">
        <f>"201511027991"</f>
        <v>201511027991</v>
      </c>
    </row>
    <row r="4676" spans="1:2" x14ac:dyDescent="0.25">
      <c r="A4676" s="3">
        <v>4671</v>
      </c>
      <c r="B4676" s="3" t="str">
        <f>"201511028027"</f>
        <v>201511028027</v>
      </c>
    </row>
    <row r="4677" spans="1:2" x14ac:dyDescent="0.25">
      <c r="A4677" s="3">
        <v>4672</v>
      </c>
      <c r="B4677" s="3" t="str">
        <f>"201511028035"</f>
        <v>201511028035</v>
      </c>
    </row>
    <row r="4678" spans="1:2" x14ac:dyDescent="0.25">
      <c r="A4678" s="3">
        <v>4673</v>
      </c>
      <c r="B4678" s="3" t="str">
        <f>"201511028095"</f>
        <v>201511028095</v>
      </c>
    </row>
    <row r="4679" spans="1:2" x14ac:dyDescent="0.25">
      <c r="A4679" s="3">
        <v>4674</v>
      </c>
      <c r="B4679" s="3" t="str">
        <f>"201511028163"</f>
        <v>201511028163</v>
      </c>
    </row>
    <row r="4680" spans="1:2" x14ac:dyDescent="0.25">
      <c r="A4680" s="3">
        <v>4675</v>
      </c>
      <c r="B4680" s="3" t="str">
        <f>"201511028165"</f>
        <v>201511028165</v>
      </c>
    </row>
    <row r="4681" spans="1:2" x14ac:dyDescent="0.25">
      <c r="A4681" s="3">
        <v>4676</v>
      </c>
      <c r="B4681" s="3" t="str">
        <f>"201511028233"</f>
        <v>201511028233</v>
      </c>
    </row>
    <row r="4682" spans="1:2" x14ac:dyDescent="0.25">
      <c r="A4682" s="3">
        <v>4677</v>
      </c>
      <c r="B4682" s="3" t="str">
        <f>"201511028248"</f>
        <v>201511028248</v>
      </c>
    </row>
    <row r="4683" spans="1:2" x14ac:dyDescent="0.25">
      <c r="A4683" s="3">
        <v>4678</v>
      </c>
      <c r="B4683" s="3" t="str">
        <f>"201511028322"</f>
        <v>201511028322</v>
      </c>
    </row>
    <row r="4684" spans="1:2" x14ac:dyDescent="0.25">
      <c r="A4684" s="3">
        <v>4679</v>
      </c>
      <c r="B4684" s="3" t="str">
        <f>"201511028356"</f>
        <v>201511028356</v>
      </c>
    </row>
    <row r="4685" spans="1:2" x14ac:dyDescent="0.25">
      <c r="A4685" s="3">
        <v>4680</v>
      </c>
      <c r="B4685" s="3" t="str">
        <f>"201511028359"</f>
        <v>201511028359</v>
      </c>
    </row>
    <row r="4686" spans="1:2" x14ac:dyDescent="0.25">
      <c r="A4686" s="3">
        <v>4681</v>
      </c>
      <c r="B4686" s="3" t="str">
        <f>"201511028369"</f>
        <v>201511028369</v>
      </c>
    </row>
    <row r="4687" spans="1:2" x14ac:dyDescent="0.25">
      <c r="A4687" s="3">
        <v>4682</v>
      </c>
      <c r="B4687" s="3" t="str">
        <f>"201511028399"</f>
        <v>201511028399</v>
      </c>
    </row>
    <row r="4688" spans="1:2" x14ac:dyDescent="0.25">
      <c r="A4688" s="3">
        <v>4683</v>
      </c>
      <c r="B4688" s="3" t="str">
        <f>"201511028419"</f>
        <v>201511028419</v>
      </c>
    </row>
    <row r="4689" spans="1:2" x14ac:dyDescent="0.25">
      <c r="A4689" s="3">
        <v>4684</v>
      </c>
      <c r="B4689" s="3" t="str">
        <f>"201511028423"</f>
        <v>201511028423</v>
      </c>
    </row>
    <row r="4690" spans="1:2" x14ac:dyDescent="0.25">
      <c r="A4690" s="3">
        <v>4685</v>
      </c>
      <c r="B4690" s="3" t="str">
        <f>"201511028432"</f>
        <v>201511028432</v>
      </c>
    </row>
    <row r="4691" spans="1:2" x14ac:dyDescent="0.25">
      <c r="A4691" s="3">
        <v>4686</v>
      </c>
      <c r="B4691" s="3" t="str">
        <f>"201511028447"</f>
        <v>201511028447</v>
      </c>
    </row>
    <row r="4692" spans="1:2" x14ac:dyDescent="0.25">
      <c r="A4692" s="3">
        <v>4687</v>
      </c>
      <c r="B4692" s="3" t="str">
        <f>"201511028498"</f>
        <v>201511028498</v>
      </c>
    </row>
    <row r="4693" spans="1:2" x14ac:dyDescent="0.25">
      <c r="A4693" s="3">
        <v>4688</v>
      </c>
      <c r="B4693" s="3" t="str">
        <f>"201511028524"</f>
        <v>201511028524</v>
      </c>
    </row>
    <row r="4694" spans="1:2" x14ac:dyDescent="0.25">
      <c r="A4694" s="3">
        <v>4689</v>
      </c>
      <c r="B4694" s="3" t="str">
        <f>"201511028646"</f>
        <v>201511028646</v>
      </c>
    </row>
    <row r="4695" spans="1:2" x14ac:dyDescent="0.25">
      <c r="A4695" s="3">
        <v>4690</v>
      </c>
      <c r="B4695" s="3" t="str">
        <f>"201511028658"</f>
        <v>201511028658</v>
      </c>
    </row>
    <row r="4696" spans="1:2" x14ac:dyDescent="0.25">
      <c r="A4696" s="3">
        <v>4691</v>
      </c>
      <c r="B4696" s="3" t="str">
        <f>"201511028662"</f>
        <v>201511028662</v>
      </c>
    </row>
    <row r="4697" spans="1:2" x14ac:dyDescent="0.25">
      <c r="A4697" s="3">
        <v>4692</v>
      </c>
      <c r="B4697" s="3" t="str">
        <f>"201511028667"</f>
        <v>201511028667</v>
      </c>
    </row>
    <row r="4698" spans="1:2" x14ac:dyDescent="0.25">
      <c r="A4698" s="3">
        <v>4693</v>
      </c>
      <c r="B4698" s="3" t="str">
        <f>"201511028685"</f>
        <v>201511028685</v>
      </c>
    </row>
    <row r="4699" spans="1:2" x14ac:dyDescent="0.25">
      <c r="A4699" s="3">
        <v>4694</v>
      </c>
      <c r="B4699" s="3" t="str">
        <f>"201511028688"</f>
        <v>201511028688</v>
      </c>
    </row>
    <row r="4700" spans="1:2" x14ac:dyDescent="0.25">
      <c r="A4700" s="3">
        <v>4695</v>
      </c>
      <c r="B4700" s="3" t="str">
        <f>"201511028708"</f>
        <v>201511028708</v>
      </c>
    </row>
    <row r="4701" spans="1:2" x14ac:dyDescent="0.25">
      <c r="A4701" s="3">
        <v>4696</v>
      </c>
      <c r="B4701" s="3" t="str">
        <f>"201511028731"</f>
        <v>201511028731</v>
      </c>
    </row>
    <row r="4702" spans="1:2" x14ac:dyDescent="0.25">
      <c r="A4702" s="3">
        <v>4697</v>
      </c>
      <c r="B4702" s="3" t="str">
        <f>"201511028733"</f>
        <v>201511028733</v>
      </c>
    </row>
    <row r="4703" spans="1:2" x14ac:dyDescent="0.25">
      <c r="A4703" s="3">
        <v>4698</v>
      </c>
      <c r="B4703" s="3" t="str">
        <f>"201511028742"</f>
        <v>201511028742</v>
      </c>
    </row>
    <row r="4704" spans="1:2" x14ac:dyDescent="0.25">
      <c r="A4704" s="3">
        <v>4699</v>
      </c>
      <c r="B4704" s="3" t="str">
        <f>"201511028755"</f>
        <v>201511028755</v>
      </c>
    </row>
    <row r="4705" spans="1:2" x14ac:dyDescent="0.25">
      <c r="A4705" s="3">
        <v>4700</v>
      </c>
      <c r="B4705" s="3" t="str">
        <f>"201511028769"</f>
        <v>201511028769</v>
      </c>
    </row>
    <row r="4706" spans="1:2" x14ac:dyDescent="0.25">
      <c r="A4706" s="3">
        <v>4701</v>
      </c>
      <c r="B4706" s="3" t="str">
        <f>"201511028774"</f>
        <v>201511028774</v>
      </c>
    </row>
    <row r="4707" spans="1:2" x14ac:dyDescent="0.25">
      <c r="A4707" s="3">
        <v>4702</v>
      </c>
      <c r="B4707" s="3" t="str">
        <f>"201511028776"</f>
        <v>201511028776</v>
      </c>
    </row>
    <row r="4708" spans="1:2" x14ac:dyDescent="0.25">
      <c r="A4708" s="3">
        <v>4703</v>
      </c>
      <c r="B4708" s="3" t="str">
        <f>"201511028779"</f>
        <v>201511028779</v>
      </c>
    </row>
    <row r="4709" spans="1:2" x14ac:dyDescent="0.25">
      <c r="A4709" s="3">
        <v>4704</v>
      </c>
      <c r="B4709" s="3" t="str">
        <f>"201511028793"</f>
        <v>201511028793</v>
      </c>
    </row>
    <row r="4710" spans="1:2" x14ac:dyDescent="0.25">
      <c r="A4710" s="3">
        <v>4705</v>
      </c>
      <c r="B4710" s="3" t="str">
        <f>"201511028822"</f>
        <v>201511028822</v>
      </c>
    </row>
    <row r="4711" spans="1:2" x14ac:dyDescent="0.25">
      <c r="A4711" s="3">
        <v>4706</v>
      </c>
      <c r="B4711" s="3" t="str">
        <f>"201511028862"</f>
        <v>201511028862</v>
      </c>
    </row>
    <row r="4712" spans="1:2" x14ac:dyDescent="0.25">
      <c r="A4712" s="3">
        <v>4707</v>
      </c>
      <c r="B4712" s="3" t="str">
        <f>"201511028874"</f>
        <v>201511028874</v>
      </c>
    </row>
    <row r="4713" spans="1:2" x14ac:dyDescent="0.25">
      <c r="A4713" s="3">
        <v>4708</v>
      </c>
      <c r="B4713" s="3" t="str">
        <f>"201511028878"</f>
        <v>201511028878</v>
      </c>
    </row>
    <row r="4714" spans="1:2" x14ac:dyDescent="0.25">
      <c r="A4714" s="3">
        <v>4709</v>
      </c>
      <c r="B4714" s="3" t="str">
        <f>"201511028913"</f>
        <v>201511028913</v>
      </c>
    </row>
    <row r="4715" spans="1:2" x14ac:dyDescent="0.25">
      <c r="A4715" s="3">
        <v>4710</v>
      </c>
      <c r="B4715" s="3" t="str">
        <f>"201511028921"</f>
        <v>201511028921</v>
      </c>
    </row>
    <row r="4716" spans="1:2" x14ac:dyDescent="0.25">
      <c r="A4716" s="3">
        <v>4711</v>
      </c>
      <c r="B4716" s="3" t="str">
        <f>"201511028988"</f>
        <v>201511028988</v>
      </c>
    </row>
    <row r="4717" spans="1:2" x14ac:dyDescent="0.25">
      <c r="A4717" s="3">
        <v>4712</v>
      </c>
      <c r="B4717" s="3" t="str">
        <f>"201511029012"</f>
        <v>201511029012</v>
      </c>
    </row>
    <row r="4718" spans="1:2" x14ac:dyDescent="0.25">
      <c r="A4718" s="3">
        <v>4713</v>
      </c>
      <c r="B4718" s="3" t="str">
        <f>"201511029127"</f>
        <v>201511029127</v>
      </c>
    </row>
    <row r="4719" spans="1:2" x14ac:dyDescent="0.25">
      <c r="A4719" s="3">
        <v>4714</v>
      </c>
      <c r="B4719" s="3" t="str">
        <f>"201511029165"</f>
        <v>201511029165</v>
      </c>
    </row>
    <row r="4720" spans="1:2" x14ac:dyDescent="0.25">
      <c r="A4720" s="3">
        <v>4715</v>
      </c>
      <c r="B4720" s="3" t="str">
        <f>"201511029268"</f>
        <v>201511029268</v>
      </c>
    </row>
    <row r="4721" spans="1:2" x14ac:dyDescent="0.25">
      <c r="A4721" s="3">
        <v>4716</v>
      </c>
      <c r="B4721" s="3" t="str">
        <f>"201511029290"</f>
        <v>201511029290</v>
      </c>
    </row>
    <row r="4722" spans="1:2" x14ac:dyDescent="0.25">
      <c r="A4722" s="3">
        <v>4717</v>
      </c>
      <c r="B4722" s="3" t="str">
        <f>"201511029292"</f>
        <v>201511029292</v>
      </c>
    </row>
    <row r="4723" spans="1:2" x14ac:dyDescent="0.25">
      <c r="A4723" s="3">
        <v>4718</v>
      </c>
      <c r="B4723" s="3" t="str">
        <f>"201511029316"</f>
        <v>201511029316</v>
      </c>
    </row>
    <row r="4724" spans="1:2" x14ac:dyDescent="0.25">
      <c r="A4724" s="3">
        <v>4719</v>
      </c>
      <c r="B4724" s="3" t="str">
        <f>"201511029326"</f>
        <v>201511029326</v>
      </c>
    </row>
    <row r="4725" spans="1:2" x14ac:dyDescent="0.25">
      <c r="A4725" s="3">
        <v>4720</v>
      </c>
      <c r="B4725" s="3" t="str">
        <f>"201511029361"</f>
        <v>201511029361</v>
      </c>
    </row>
    <row r="4726" spans="1:2" x14ac:dyDescent="0.25">
      <c r="A4726" s="3">
        <v>4721</v>
      </c>
      <c r="B4726" s="3" t="str">
        <f>"201511029383"</f>
        <v>201511029383</v>
      </c>
    </row>
    <row r="4727" spans="1:2" x14ac:dyDescent="0.25">
      <c r="A4727" s="3">
        <v>4722</v>
      </c>
      <c r="B4727" s="3" t="str">
        <f>"201511029388"</f>
        <v>201511029388</v>
      </c>
    </row>
    <row r="4728" spans="1:2" x14ac:dyDescent="0.25">
      <c r="A4728" s="3">
        <v>4723</v>
      </c>
      <c r="B4728" s="3" t="str">
        <f>"201511029397"</f>
        <v>201511029397</v>
      </c>
    </row>
    <row r="4729" spans="1:2" x14ac:dyDescent="0.25">
      <c r="A4729" s="3">
        <v>4724</v>
      </c>
      <c r="B4729" s="3" t="str">
        <f>"201511029464"</f>
        <v>201511029464</v>
      </c>
    </row>
    <row r="4730" spans="1:2" x14ac:dyDescent="0.25">
      <c r="A4730" s="3">
        <v>4725</v>
      </c>
      <c r="B4730" s="3" t="str">
        <f>"201511029475"</f>
        <v>201511029475</v>
      </c>
    </row>
    <row r="4731" spans="1:2" x14ac:dyDescent="0.25">
      <c r="A4731" s="3">
        <v>4726</v>
      </c>
      <c r="B4731" s="3" t="str">
        <f>"201511029502"</f>
        <v>201511029502</v>
      </c>
    </row>
    <row r="4732" spans="1:2" x14ac:dyDescent="0.25">
      <c r="A4732" s="3">
        <v>4727</v>
      </c>
      <c r="B4732" s="3" t="str">
        <f>"201511029548"</f>
        <v>201511029548</v>
      </c>
    </row>
    <row r="4733" spans="1:2" x14ac:dyDescent="0.25">
      <c r="A4733" s="3">
        <v>4728</v>
      </c>
      <c r="B4733" s="3" t="str">
        <f>"201511029590"</f>
        <v>201511029590</v>
      </c>
    </row>
    <row r="4734" spans="1:2" x14ac:dyDescent="0.25">
      <c r="A4734" s="3">
        <v>4729</v>
      </c>
      <c r="B4734" s="3" t="str">
        <f>"201511029600"</f>
        <v>201511029600</v>
      </c>
    </row>
    <row r="4735" spans="1:2" x14ac:dyDescent="0.25">
      <c r="A4735" s="3">
        <v>4730</v>
      </c>
      <c r="B4735" s="3" t="str">
        <f>"201511029625"</f>
        <v>201511029625</v>
      </c>
    </row>
    <row r="4736" spans="1:2" x14ac:dyDescent="0.25">
      <c r="A4736" s="3">
        <v>4731</v>
      </c>
      <c r="B4736" s="3" t="str">
        <f>"201511029666"</f>
        <v>201511029666</v>
      </c>
    </row>
    <row r="4737" spans="1:2" x14ac:dyDescent="0.25">
      <c r="A4737" s="3">
        <v>4732</v>
      </c>
      <c r="B4737" s="3" t="str">
        <f>"201511029721"</f>
        <v>201511029721</v>
      </c>
    </row>
    <row r="4738" spans="1:2" x14ac:dyDescent="0.25">
      <c r="A4738" s="3">
        <v>4733</v>
      </c>
      <c r="B4738" s="3" t="str">
        <f>"201511029823"</f>
        <v>201511029823</v>
      </c>
    </row>
    <row r="4739" spans="1:2" x14ac:dyDescent="0.25">
      <c r="A4739" s="3">
        <v>4734</v>
      </c>
      <c r="B4739" s="3" t="str">
        <f>"201511029841"</f>
        <v>201511029841</v>
      </c>
    </row>
    <row r="4740" spans="1:2" x14ac:dyDescent="0.25">
      <c r="A4740" s="3">
        <v>4735</v>
      </c>
      <c r="B4740" s="3" t="str">
        <f>"201511029850"</f>
        <v>201511029850</v>
      </c>
    </row>
    <row r="4741" spans="1:2" x14ac:dyDescent="0.25">
      <c r="A4741" s="3">
        <v>4736</v>
      </c>
      <c r="B4741" s="3" t="str">
        <f>"201511029857"</f>
        <v>201511029857</v>
      </c>
    </row>
    <row r="4742" spans="1:2" x14ac:dyDescent="0.25">
      <c r="A4742" s="3">
        <v>4737</v>
      </c>
      <c r="B4742" s="3" t="str">
        <f>"201511029960"</f>
        <v>201511029960</v>
      </c>
    </row>
    <row r="4743" spans="1:2" x14ac:dyDescent="0.25">
      <c r="A4743" s="3">
        <v>4738</v>
      </c>
      <c r="B4743" s="3" t="str">
        <f>"201511029979"</f>
        <v>201511029979</v>
      </c>
    </row>
    <row r="4744" spans="1:2" x14ac:dyDescent="0.25">
      <c r="A4744" s="3">
        <v>4739</v>
      </c>
      <c r="B4744" s="3" t="str">
        <f>"201511029987"</f>
        <v>201511029987</v>
      </c>
    </row>
    <row r="4745" spans="1:2" x14ac:dyDescent="0.25">
      <c r="A4745" s="3">
        <v>4740</v>
      </c>
      <c r="B4745" s="3" t="str">
        <f>"201511030047"</f>
        <v>201511030047</v>
      </c>
    </row>
    <row r="4746" spans="1:2" x14ac:dyDescent="0.25">
      <c r="A4746" s="3">
        <v>4741</v>
      </c>
      <c r="B4746" s="3" t="str">
        <f>"201511030055"</f>
        <v>201511030055</v>
      </c>
    </row>
    <row r="4747" spans="1:2" x14ac:dyDescent="0.25">
      <c r="A4747" s="3">
        <v>4742</v>
      </c>
      <c r="B4747" s="3" t="str">
        <f>"201511030082"</f>
        <v>201511030082</v>
      </c>
    </row>
    <row r="4748" spans="1:2" x14ac:dyDescent="0.25">
      <c r="A4748" s="3">
        <v>4743</v>
      </c>
      <c r="B4748" s="3" t="str">
        <f>"201511030116"</f>
        <v>201511030116</v>
      </c>
    </row>
    <row r="4749" spans="1:2" x14ac:dyDescent="0.25">
      <c r="A4749" s="3">
        <v>4744</v>
      </c>
      <c r="B4749" s="3" t="str">
        <f>"201511030130"</f>
        <v>201511030130</v>
      </c>
    </row>
    <row r="4750" spans="1:2" x14ac:dyDescent="0.25">
      <c r="A4750" s="3">
        <v>4745</v>
      </c>
      <c r="B4750" s="3" t="str">
        <f>"201511030170"</f>
        <v>201511030170</v>
      </c>
    </row>
    <row r="4751" spans="1:2" x14ac:dyDescent="0.25">
      <c r="A4751" s="3">
        <v>4746</v>
      </c>
      <c r="B4751" s="3" t="str">
        <f>"201511030209"</f>
        <v>201511030209</v>
      </c>
    </row>
    <row r="4752" spans="1:2" x14ac:dyDescent="0.25">
      <c r="A4752" s="3">
        <v>4747</v>
      </c>
      <c r="B4752" s="3" t="str">
        <f>"201511030217"</f>
        <v>201511030217</v>
      </c>
    </row>
    <row r="4753" spans="1:2" x14ac:dyDescent="0.25">
      <c r="A4753" s="3">
        <v>4748</v>
      </c>
      <c r="B4753" s="3" t="str">
        <f>"201511030277"</f>
        <v>201511030277</v>
      </c>
    </row>
    <row r="4754" spans="1:2" x14ac:dyDescent="0.25">
      <c r="A4754" s="3">
        <v>4749</v>
      </c>
      <c r="B4754" s="3" t="str">
        <f>"201511030280"</f>
        <v>201511030280</v>
      </c>
    </row>
    <row r="4755" spans="1:2" x14ac:dyDescent="0.25">
      <c r="A4755" s="3">
        <v>4750</v>
      </c>
      <c r="B4755" s="3" t="str">
        <f>"201511030300"</f>
        <v>201511030300</v>
      </c>
    </row>
    <row r="4756" spans="1:2" x14ac:dyDescent="0.25">
      <c r="A4756" s="3">
        <v>4751</v>
      </c>
      <c r="B4756" s="3" t="str">
        <f>"201511030303"</f>
        <v>201511030303</v>
      </c>
    </row>
    <row r="4757" spans="1:2" x14ac:dyDescent="0.25">
      <c r="A4757" s="3">
        <v>4752</v>
      </c>
      <c r="B4757" s="3" t="str">
        <f>"201511030317"</f>
        <v>201511030317</v>
      </c>
    </row>
    <row r="4758" spans="1:2" x14ac:dyDescent="0.25">
      <c r="A4758" s="3">
        <v>4753</v>
      </c>
      <c r="B4758" s="3" t="str">
        <f>"201511030329"</f>
        <v>201511030329</v>
      </c>
    </row>
    <row r="4759" spans="1:2" x14ac:dyDescent="0.25">
      <c r="A4759" s="3">
        <v>4754</v>
      </c>
      <c r="B4759" s="3" t="str">
        <f>"201511030336"</f>
        <v>201511030336</v>
      </c>
    </row>
    <row r="4760" spans="1:2" x14ac:dyDescent="0.25">
      <c r="A4760" s="3">
        <v>4755</v>
      </c>
      <c r="B4760" s="3" t="str">
        <f>"201511030341"</f>
        <v>201511030341</v>
      </c>
    </row>
    <row r="4761" spans="1:2" x14ac:dyDescent="0.25">
      <c r="A4761" s="3">
        <v>4756</v>
      </c>
      <c r="B4761" s="3" t="str">
        <f>"201511030353"</f>
        <v>201511030353</v>
      </c>
    </row>
    <row r="4762" spans="1:2" x14ac:dyDescent="0.25">
      <c r="A4762" s="3">
        <v>4757</v>
      </c>
      <c r="B4762" s="3" t="str">
        <f>"201511030357"</f>
        <v>201511030357</v>
      </c>
    </row>
    <row r="4763" spans="1:2" x14ac:dyDescent="0.25">
      <c r="A4763" s="3">
        <v>4758</v>
      </c>
      <c r="B4763" s="3" t="str">
        <f>"201511030364"</f>
        <v>201511030364</v>
      </c>
    </row>
    <row r="4764" spans="1:2" x14ac:dyDescent="0.25">
      <c r="A4764" s="3">
        <v>4759</v>
      </c>
      <c r="B4764" s="3" t="str">
        <f>"201511030380"</f>
        <v>201511030380</v>
      </c>
    </row>
    <row r="4765" spans="1:2" x14ac:dyDescent="0.25">
      <c r="A4765" s="3">
        <v>4760</v>
      </c>
      <c r="B4765" s="3" t="str">
        <f>"201511030384"</f>
        <v>201511030384</v>
      </c>
    </row>
    <row r="4766" spans="1:2" x14ac:dyDescent="0.25">
      <c r="A4766" s="3">
        <v>4761</v>
      </c>
      <c r="B4766" s="3" t="str">
        <f>"201511030413"</f>
        <v>201511030413</v>
      </c>
    </row>
    <row r="4767" spans="1:2" x14ac:dyDescent="0.25">
      <c r="A4767" s="3">
        <v>4762</v>
      </c>
      <c r="B4767" s="3" t="str">
        <f>"201511030425"</f>
        <v>201511030425</v>
      </c>
    </row>
    <row r="4768" spans="1:2" x14ac:dyDescent="0.25">
      <c r="A4768" s="3">
        <v>4763</v>
      </c>
      <c r="B4768" s="3" t="str">
        <f>"201511030489"</f>
        <v>201511030489</v>
      </c>
    </row>
    <row r="4769" spans="1:2" x14ac:dyDescent="0.25">
      <c r="A4769" s="3">
        <v>4764</v>
      </c>
      <c r="B4769" s="3" t="str">
        <f>"201511030515"</f>
        <v>201511030515</v>
      </c>
    </row>
    <row r="4770" spans="1:2" x14ac:dyDescent="0.25">
      <c r="A4770" s="3">
        <v>4765</v>
      </c>
      <c r="B4770" s="3" t="str">
        <f>"201511030524"</f>
        <v>201511030524</v>
      </c>
    </row>
    <row r="4771" spans="1:2" x14ac:dyDescent="0.25">
      <c r="A4771" s="3">
        <v>4766</v>
      </c>
      <c r="B4771" s="3" t="str">
        <f>"201511030529"</f>
        <v>201511030529</v>
      </c>
    </row>
    <row r="4772" spans="1:2" x14ac:dyDescent="0.25">
      <c r="A4772" s="3">
        <v>4767</v>
      </c>
      <c r="B4772" s="3" t="str">
        <f>"201511030533"</f>
        <v>201511030533</v>
      </c>
    </row>
    <row r="4773" spans="1:2" x14ac:dyDescent="0.25">
      <c r="A4773" s="3">
        <v>4768</v>
      </c>
      <c r="B4773" s="3" t="str">
        <f>"201511030543"</f>
        <v>201511030543</v>
      </c>
    </row>
    <row r="4774" spans="1:2" x14ac:dyDescent="0.25">
      <c r="A4774" s="3">
        <v>4769</v>
      </c>
      <c r="B4774" s="3" t="str">
        <f>"201511030560"</f>
        <v>201511030560</v>
      </c>
    </row>
    <row r="4775" spans="1:2" x14ac:dyDescent="0.25">
      <c r="A4775" s="3">
        <v>4770</v>
      </c>
      <c r="B4775" s="3" t="str">
        <f>"201511030595"</f>
        <v>201511030595</v>
      </c>
    </row>
    <row r="4776" spans="1:2" x14ac:dyDescent="0.25">
      <c r="A4776" s="3">
        <v>4771</v>
      </c>
      <c r="B4776" s="3" t="str">
        <f>"201511030603"</f>
        <v>201511030603</v>
      </c>
    </row>
    <row r="4777" spans="1:2" x14ac:dyDescent="0.25">
      <c r="A4777" s="3">
        <v>4772</v>
      </c>
      <c r="B4777" s="3" t="str">
        <f>"201511030675"</f>
        <v>201511030675</v>
      </c>
    </row>
    <row r="4778" spans="1:2" x14ac:dyDescent="0.25">
      <c r="A4778" s="3">
        <v>4773</v>
      </c>
      <c r="B4778" s="3" t="str">
        <f>"201511030688"</f>
        <v>201511030688</v>
      </c>
    </row>
    <row r="4779" spans="1:2" x14ac:dyDescent="0.25">
      <c r="A4779" s="3">
        <v>4774</v>
      </c>
      <c r="B4779" s="3" t="str">
        <f>"201511030730"</f>
        <v>201511030730</v>
      </c>
    </row>
    <row r="4780" spans="1:2" x14ac:dyDescent="0.25">
      <c r="A4780" s="3">
        <v>4775</v>
      </c>
      <c r="B4780" s="3" t="str">
        <f>"201511030815"</f>
        <v>201511030815</v>
      </c>
    </row>
    <row r="4781" spans="1:2" x14ac:dyDescent="0.25">
      <c r="A4781" s="3">
        <v>4776</v>
      </c>
      <c r="B4781" s="3" t="str">
        <f>"201511030842"</f>
        <v>201511030842</v>
      </c>
    </row>
    <row r="4782" spans="1:2" x14ac:dyDescent="0.25">
      <c r="A4782" s="3">
        <v>4777</v>
      </c>
      <c r="B4782" s="3" t="str">
        <f>"201511030845"</f>
        <v>201511030845</v>
      </c>
    </row>
    <row r="4783" spans="1:2" x14ac:dyDescent="0.25">
      <c r="A4783" s="3">
        <v>4778</v>
      </c>
      <c r="B4783" s="3" t="str">
        <f>"201511030860"</f>
        <v>201511030860</v>
      </c>
    </row>
    <row r="4784" spans="1:2" x14ac:dyDescent="0.25">
      <c r="A4784" s="3">
        <v>4779</v>
      </c>
      <c r="B4784" s="3" t="str">
        <f>"201511030869"</f>
        <v>201511030869</v>
      </c>
    </row>
    <row r="4785" spans="1:2" x14ac:dyDescent="0.25">
      <c r="A4785" s="3">
        <v>4780</v>
      </c>
      <c r="B4785" s="3" t="str">
        <f>"201511030889"</f>
        <v>201511030889</v>
      </c>
    </row>
    <row r="4786" spans="1:2" x14ac:dyDescent="0.25">
      <c r="A4786" s="3">
        <v>4781</v>
      </c>
      <c r="B4786" s="3" t="str">
        <f>"201511030975"</f>
        <v>201511030975</v>
      </c>
    </row>
    <row r="4787" spans="1:2" x14ac:dyDescent="0.25">
      <c r="A4787" s="3">
        <v>4782</v>
      </c>
      <c r="B4787" s="3" t="str">
        <f>"201511030979"</f>
        <v>201511030979</v>
      </c>
    </row>
    <row r="4788" spans="1:2" x14ac:dyDescent="0.25">
      <c r="A4788" s="3">
        <v>4783</v>
      </c>
      <c r="B4788" s="3" t="str">
        <f>"201511031033"</f>
        <v>201511031033</v>
      </c>
    </row>
    <row r="4789" spans="1:2" x14ac:dyDescent="0.25">
      <c r="A4789" s="3">
        <v>4784</v>
      </c>
      <c r="B4789" s="3" t="str">
        <f>"201511031058"</f>
        <v>201511031058</v>
      </c>
    </row>
    <row r="4790" spans="1:2" x14ac:dyDescent="0.25">
      <c r="A4790" s="3">
        <v>4785</v>
      </c>
      <c r="B4790" s="3" t="str">
        <f>"201511031165"</f>
        <v>201511031165</v>
      </c>
    </row>
    <row r="4791" spans="1:2" x14ac:dyDescent="0.25">
      <c r="A4791" s="3">
        <v>4786</v>
      </c>
      <c r="B4791" s="3" t="str">
        <f>"201511031170"</f>
        <v>201511031170</v>
      </c>
    </row>
    <row r="4792" spans="1:2" x14ac:dyDescent="0.25">
      <c r="A4792" s="3">
        <v>4787</v>
      </c>
      <c r="B4792" s="3" t="str">
        <f>"201511031185"</f>
        <v>201511031185</v>
      </c>
    </row>
    <row r="4793" spans="1:2" x14ac:dyDescent="0.25">
      <c r="A4793" s="3">
        <v>4788</v>
      </c>
      <c r="B4793" s="3" t="str">
        <f>"201511031193"</f>
        <v>201511031193</v>
      </c>
    </row>
    <row r="4794" spans="1:2" x14ac:dyDescent="0.25">
      <c r="A4794" s="3">
        <v>4789</v>
      </c>
      <c r="B4794" s="3" t="str">
        <f>"201511031226"</f>
        <v>201511031226</v>
      </c>
    </row>
    <row r="4795" spans="1:2" x14ac:dyDescent="0.25">
      <c r="A4795" s="3">
        <v>4790</v>
      </c>
      <c r="B4795" s="3" t="str">
        <f>"201511031249"</f>
        <v>201511031249</v>
      </c>
    </row>
    <row r="4796" spans="1:2" x14ac:dyDescent="0.25">
      <c r="A4796" s="3">
        <v>4791</v>
      </c>
      <c r="B4796" s="3" t="str">
        <f>"201511031270"</f>
        <v>201511031270</v>
      </c>
    </row>
    <row r="4797" spans="1:2" x14ac:dyDescent="0.25">
      <c r="A4797" s="3">
        <v>4792</v>
      </c>
      <c r="B4797" s="3" t="str">
        <f>"201511031282"</f>
        <v>201511031282</v>
      </c>
    </row>
    <row r="4798" spans="1:2" x14ac:dyDescent="0.25">
      <c r="A4798" s="3">
        <v>4793</v>
      </c>
      <c r="B4798" s="3" t="str">
        <f>"201511031287"</f>
        <v>201511031287</v>
      </c>
    </row>
    <row r="4799" spans="1:2" x14ac:dyDescent="0.25">
      <c r="A4799" s="3">
        <v>4794</v>
      </c>
      <c r="B4799" s="3" t="str">
        <f>"201511031315"</f>
        <v>201511031315</v>
      </c>
    </row>
    <row r="4800" spans="1:2" x14ac:dyDescent="0.25">
      <c r="A4800" s="3">
        <v>4795</v>
      </c>
      <c r="B4800" s="3" t="str">
        <f>"201511031349"</f>
        <v>201511031349</v>
      </c>
    </row>
    <row r="4801" spans="1:2" x14ac:dyDescent="0.25">
      <c r="A4801" s="3">
        <v>4796</v>
      </c>
      <c r="B4801" s="3" t="str">
        <f>"201511031351"</f>
        <v>201511031351</v>
      </c>
    </row>
    <row r="4802" spans="1:2" x14ac:dyDescent="0.25">
      <c r="A4802" s="3">
        <v>4797</v>
      </c>
      <c r="B4802" s="3" t="str">
        <f>"201511031371"</f>
        <v>201511031371</v>
      </c>
    </row>
    <row r="4803" spans="1:2" x14ac:dyDescent="0.25">
      <c r="A4803" s="3">
        <v>4798</v>
      </c>
      <c r="B4803" s="3" t="str">
        <f>"201511031434"</f>
        <v>201511031434</v>
      </c>
    </row>
    <row r="4804" spans="1:2" x14ac:dyDescent="0.25">
      <c r="A4804" s="3">
        <v>4799</v>
      </c>
      <c r="B4804" s="3" t="str">
        <f>"201511031449"</f>
        <v>201511031449</v>
      </c>
    </row>
    <row r="4805" spans="1:2" x14ac:dyDescent="0.25">
      <c r="A4805" s="3">
        <v>4800</v>
      </c>
      <c r="B4805" s="3" t="str">
        <f>"201511031492"</f>
        <v>201511031492</v>
      </c>
    </row>
    <row r="4806" spans="1:2" x14ac:dyDescent="0.25">
      <c r="A4806" s="3">
        <v>4801</v>
      </c>
      <c r="B4806" s="3" t="str">
        <f>"201511031517"</f>
        <v>201511031517</v>
      </c>
    </row>
    <row r="4807" spans="1:2" x14ac:dyDescent="0.25">
      <c r="A4807" s="3">
        <v>4802</v>
      </c>
      <c r="B4807" s="3" t="str">
        <f>"201511031534"</f>
        <v>201511031534</v>
      </c>
    </row>
    <row r="4808" spans="1:2" x14ac:dyDescent="0.25">
      <c r="A4808" s="3">
        <v>4803</v>
      </c>
      <c r="B4808" s="3" t="str">
        <f>"201511031539"</f>
        <v>201511031539</v>
      </c>
    </row>
    <row r="4809" spans="1:2" x14ac:dyDescent="0.25">
      <c r="A4809" s="3">
        <v>4804</v>
      </c>
      <c r="B4809" s="3" t="str">
        <f>"201511031558"</f>
        <v>201511031558</v>
      </c>
    </row>
    <row r="4810" spans="1:2" x14ac:dyDescent="0.25">
      <c r="A4810" s="3">
        <v>4805</v>
      </c>
      <c r="B4810" s="3" t="str">
        <f>"201511031576"</f>
        <v>201511031576</v>
      </c>
    </row>
    <row r="4811" spans="1:2" x14ac:dyDescent="0.25">
      <c r="A4811" s="3">
        <v>4806</v>
      </c>
      <c r="B4811" s="3" t="str">
        <f>"201511031580"</f>
        <v>201511031580</v>
      </c>
    </row>
    <row r="4812" spans="1:2" x14ac:dyDescent="0.25">
      <c r="A4812" s="3">
        <v>4807</v>
      </c>
      <c r="B4812" s="3" t="str">
        <f>"201511031642"</f>
        <v>201511031642</v>
      </c>
    </row>
    <row r="4813" spans="1:2" x14ac:dyDescent="0.25">
      <c r="A4813" s="3">
        <v>4808</v>
      </c>
      <c r="B4813" s="3" t="str">
        <f>"201511031665"</f>
        <v>201511031665</v>
      </c>
    </row>
    <row r="4814" spans="1:2" x14ac:dyDescent="0.25">
      <c r="A4814" s="3">
        <v>4809</v>
      </c>
      <c r="B4814" s="3" t="str">
        <f>"201511031678"</f>
        <v>201511031678</v>
      </c>
    </row>
    <row r="4815" spans="1:2" x14ac:dyDescent="0.25">
      <c r="A4815" s="3">
        <v>4810</v>
      </c>
      <c r="B4815" s="3" t="str">
        <f>"201511031690"</f>
        <v>201511031690</v>
      </c>
    </row>
    <row r="4816" spans="1:2" x14ac:dyDescent="0.25">
      <c r="A4816" s="3">
        <v>4811</v>
      </c>
      <c r="B4816" s="3" t="str">
        <f>"201511031740"</f>
        <v>201511031740</v>
      </c>
    </row>
    <row r="4817" spans="1:2" x14ac:dyDescent="0.25">
      <c r="A4817" s="3">
        <v>4812</v>
      </c>
      <c r="B4817" s="3" t="str">
        <f>"201511031746"</f>
        <v>201511031746</v>
      </c>
    </row>
    <row r="4818" spans="1:2" x14ac:dyDescent="0.25">
      <c r="A4818" s="3">
        <v>4813</v>
      </c>
      <c r="B4818" s="3" t="str">
        <f>"201511031834"</f>
        <v>201511031834</v>
      </c>
    </row>
    <row r="4819" spans="1:2" x14ac:dyDescent="0.25">
      <c r="A4819" s="3">
        <v>4814</v>
      </c>
      <c r="B4819" s="3" t="str">
        <f>"201511031864"</f>
        <v>201511031864</v>
      </c>
    </row>
    <row r="4820" spans="1:2" x14ac:dyDescent="0.25">
      <c r="A4820" s="3">
        <v>4815</v>
      </c>
      <c r="B4820" s="3" t="str">
        <f>"201511031868"</f>
        <v>201511031868</v>
      </c>
    </row>
    <row r="4821" spans="1:2" x14ac:dyDescent="0.25">
      <c r="A4821" s="3">
        <v>4816</v>
      </c>
      <c r="B4821" s="3" t="str">
        <f>"201511031878"</f>
        <v>201511031878</v>
      </c>
    </row>
    <row r="4822" spans="1:2" x14ac:dyDescent="0.25">
      <c r="A4822" s="3">
        <v>4817</v>
      </c>
      <c r="B4822" s="3" t="str">
        <f>"201511031881"</f>
        <v>201511031881</v>
      </c>
    </row>
    <row r="4823" spans="1:2" x14ac:dyDescent="0.25">
      <c r="A4823" s="3">
        <v>4818</v>
      </c>
      <c r="B4823" s="3" t="str">
        <f>"201511031943"</f>
        <v>201511031943</v>
      </c>
    </row>
    <row r="4824" spans="1:2" x14ac:dyDescent="0.25">
      <c r="A4824" s="3">
        <v>4819</v>
      </c>
      <c r="B4824" s="3" t="str">
        <f>"201511031960"</f>
        <v>201511031960</v>
      </c>
    </row>
    <row r="4825" spans="1:2" x14ac:dyDescent="0.25">
      <c r="A4825" s="3">
        <v>4820</v>
      </c>
      <c r="B4825" s="3" t="str">
        <f>"201511031973"</f>
        <v>201511031973</v>
      </c>
    </row>
    <row r="4826" spans="1:2" x14ac:dyDescent="0.25">
      <c r="A4826" s="3">
        <v>4821</v>
      </c>
      <c r="B4826" s="3" t="str">
        <f>"201511031983"</f>
        <v>201511031983</v>
      </c>
    </row>
    <row r="4827" spans="1:2" x14ac:dyDescent="0.25">
      <c r="A4827" s="3">
        <v>4822</v>
      </c>
      <c r="B4827" s="3" t="str">
        <f>"201511032026"</f>
        <v>201511032026</v>
      </c>
    </row>
    <row r="4828" spans="1:2" x14ac:dyDescent="0.25">
      <c r="A4828" s="3">
        <v>4823</v>
      </c>
      <c r="B4828" s="3" t="str">
        <f>"201511032035"</f>
        <v>201511032035</v>
      </c>
    </row>
    <row r="4829" spans="1:2" x14ac:dyDescent="0.25">
      <c r="A4829" s="3">
        <v>4824</v>
      </c>
      <c r="B4829" s="3" t="str">
        <f>"201511032041"</f>
        <v>201511032041</v>
      </c>
    </row>
    <row r="4830" spans="1:2" x14ac:dyDescent="0.25">
      <c r="A4830" s="3">
        <v>4825</v>
      </c>
      <c r="B4830" s="3" t="str">
        <f>"201511032042"</f>
        <v>201511032042</v>
      </c>
    </row>
    <row r="4831" spans="1:2" x14ac:dyDescent="0.25">
      <c r="A4831" s="3">
        <v>4826</v>
      </c>
      <c r="B4831" s="3" t="str">
        <f>"201511032048"</f>
        <v>201511032048</v>
      </c>
    </row>
    <row r="4832" spans="1:2" x14ac:dyDescent="0.25">
      <c r="A4832" s="3">
        <v>4827</v>
      </c>
      <c r="B4832" s="3" t="str">
        <f>"201511032062"</f>
        <v>201511032062</v>
      </c>
    </row>
    <row r="4833" spans="1:2" x14ac:dyDescent="0.25">
      <c r="A4833" s="3">
        <v>4828</v>
      </c>
      <c r="B4833" s="3" t="str">
        <f>"201511032094"</f>
        <v>201511032094</v>
      </c>
    </row>
    <row r="4834" spans="1:2" x14ac:dyDescent="0.25">
      <c r="A4834" s="3">
        <v>4829</v>
      </c>
      <c r="B4834" s="3" t="str">
        <f>"201511032107"</f>
        <v>201511032107</v>
      </c>
    </row>
    <row r="4835" spans="1:2" x14ac:dyDescent="0.25">
      <c r="A4835" s="3">
        <v>4830</v>
      </c>
      <c r="B4835" s="3" t="str">
        <f>"201511032171"</f>
        <v>201511032171</v>
      </c>
    </row>
    <row r="4836" spans="1:2" x14ac:dyDescent="0.25">
      <c r="A4836" s="3">
        <v>4831</v>
      </c>
      <c r="B4836" s="3" t="str">
        <f>"201511032185"</f>
        <v>201511032185</v>
      </c>
    </row>
    <row r="4837" spans="1:2" x14ac:dyDescent="0.25">
      <c r="A4837" s="3">
        <v>4832</v>
      </c>
      <c r="B4837" s="3" t="str">
        <f>"201511032250"</f>
        <v>201511032250</v>
      </c>
    </row>
    <row r="4838" spans="1:2" x14ac:dyDescent="0.25">
      <c r="A4838" s="3">
        <v>4833</v>
      </c>
      <c r="B4838" s="3" t="str">
        <f>"201511032251"</f>
        <v>201511032251</v>
      </c>
    </row>
    <row r="4839" spans="1:2" x14ac:dyDescent="0.25">
      <c r="A4839" s="3">
        <v>4834</v>
      </c>
      <c r="B4839" s="3" t="str">
        <f>"201511032329"</f>
        <v>201511032329</v>
      </c>
    </row>
    <row r="4840" spans="1:2" x14ac:dyDescent="0.25">
      <c r="A4840" s="3">
        <v>4835</v>
      </c>
      <c r="B4840" s="3" t="str">
        <f>"201511032331"</f>
        <v>201511032331</v>
      </c>
    </row>
    <row r="4841" spans="1:2" x14ac:dyDescent="0.25">
      <c r="A4841" s="3">
        <v>4836</v>
      </c>
      <c r="B4841" s="3" t="str">
        <f>"201511032334"</f>
        <v>201511032334</v>
      </c>
    </row>
    <row r="4842" spans="1:2" x14ac:dyDescent="0.25">
      <c r="A4842" s="3">
        <v>4837</v>
      </c>
      <c r="B4842" s="3" t="str">
        <f>"201511032355"</f>
        <v>201511032355</v>
      </c>
    </row>
    <row r="4843" spans="1:2" x14ac:dyDescent="0.25">
      <c r="A4843" s="3">
        <v>4838</v>
      </c>
      <c r="B4843" s="3" t="str">
        <f>"201511032374"</f>
        <v>201511032374</v>
      </c>
    </row>
    <row r="4844" spans="1:2" x14ac:dyDescent="0.25">
      <c r="A4844" s="3">
        <v>4839</v>
      </c>
      <c r="B4844" s="3" t="str">
        <f>"201511032401"</f>
        <v>201511032401</v>
      </c>
    </row>
    <row r="4845" spans="1:2" x14ac:dyDescent="0.25">
      <c r="A4845" s="3">
        <v>4840</v>
      </c>
      <c r="B4845" s="3" t="str">
        <f>"201511032427"</f>
        <v>201511032427</v>
      </c>
    </row>
    <row r="4846" spans="1:2" x14ac:dyDescent="0.25">
      <c r="A4846" s="3">
        <v>4841</v>
      </c>
      <c r="B4846" s="3" t="str">
        <f>"201511032432"</f>
        <v>201511032432</v>
      </c>
    </row>
    <row r="4847" spans="1:2" x14ac:dyDescent="0.25">
      <c r="A4847" s="3">
        <v>4842</v>
      </c>
      <c r="B4847" s="3" t="str">
        <f>"201511032444"</f>
        <v>201511032444</v>
      </c>
    </row>
    <row r="4848" spans="1:2" x14ac:dyDescent="0.25">
      <c r="A4848" s="3">
        <v>4843</v>
      </c>
      <c r="B4848" s="3" t="str">
        <f>"201511032449"</f>
        <v>201511032449</v>
      </c>
    </row>
    <row r="4849" spans="1:2" x14ac:dyDescent="0.25">
      <c r="A4849" s="3">
        <v>4844</v>
      </c>
      <c r="B4849" s="3" t="str">
        <f>"201511032507"</f>
        <v>201511032507</v>
      </c>
    </row>
    <row r="4850" spans="1:2" x14ac:dyDescent="0.25">
      <c r="A4850" s="3">
        <v>4845</v>
      </c>
      <c r="B4850" s="3" t="str">
        <f>"201511032522"</f>
        <v>201511032522</v>
      </c>
    </row>
    <row r="4851" spans="1:2" x14ac:dyDescent="0.25">
      <c r="A4851" s="3">
        <v>4846</v>
      </c>
      <c r="B4851" s="3" t="str">
        <f>"201511032588"</f>
        <v>201511032588</v>
      </c>
    </row>
    <row r="4852" spans="1:2" x14ac:dyDescent="0.25">
      <c r="A4852" s="3">
        <v>4847</v>
      </c>
      <c r="B4852" s="3" t="str">
        <f>"201511032590"</f>
        <v>201511032590</v>
      </c>
    </row>
    <row r="4853" spans="1:2" x14ac:dyDescent="0.25">
      <c r="A4853" s="3">
        <v>4848</v>
      </c>
      <c r="B4853" s="3" t="str">
        <f>"201511032649"</f>
        <v>201511032649</v>
      </c>
    </row>
    <row r="4854" spans="1:2" x14ac:dyDescent="0.25">
      <c r="A4854" s="3">
        <v>4849</v>
      </c>
      <c r="B4854" s="3" t="str">
        <f>"201511032670"</f>
        <v>201511032670</v>
      </c>
    </row>
    <row r="4855" spans="1:2" x14ac:dyDescent="0.25">
      <c r="A4855" s="3">
        <v>4850</v>
      </c>
      <c r="B4855" s="3" t="str">
        <f>"201511032680"</f>
        <v>201511032680</v>
      </c>
    </row>
    <row r="4856" spans="1:2" x14ac:dyDescent="0.25">
      <c r="A4856" s="3">
        <v>4851</v>
      </c>
      <c r="B4856" s="3" t="str">
        <f>"201511032685"</f>
        <v>201511032685</v>
      </c>
    </row>
    <row r="4857" spans="1:2" x14ac:dyDescent="0.25">
      <c r="A4857" s="3">
        <v>4852</v>
      </c>
      <c r="B4857" s="3" t="str">
        <f>"201511032712"</f>
        <v>201511032712</v>
      </c>
    </row>
    <row r="4858" spans="1:2" x14ac:dyDescent="0.25">
      <c r="A4858" s="3">
        <v>4853</v>
      </c>
      <c r="B4858" s="3" t="str">
        <f>"201511032720"</f>
        <v>201511032720</v>
      </c>
    </row>
    <row r="4859" spans="1:2" x14ac:dyDescent="0.25">
      <c r="A4859" s="3">
        <v>4854</v>
      </c>
      <c r="B4859" s="3" t="str">
        <f>"201511032801"</f>
        <v>201511032801</v>
      </c>
    </row>
    <row r="4860" spans="1:2" x14ac:dyDescent="0.25">
      <c r="A4860" s="3">
        <v>4855</v>
      </c>
      <c r="B4860" s="3" t="str">
        <f>"201511032802"</f>
        <v>201511032802</v>
      </c>
    </row>
    <row r="4861" spans="1:2" x14ac:dyDescent="0.25">
      <c r="A4861" s="3">
        <v>4856</v>
      </c>
      <c r="B4861" s="3" t="str">
        <f>"201511032807"</f>
        <v>201511032807</v>
      </c>
    </row>
    <row r="4862" spans="1:2" x14ac:dyDescent="0.25">
      <c r="A4862" s="3">
        <v>4857</v>
      </c>
      <c r="B4862" s="3" t="str">
        <f>"201511032814"</f>
        <v>201511032814</v>
      </c>
    </row>
    <row r="4863" spans="1:2" x14ac:dyDescent="0.25">
      <c r="A4863" s="3">
        <v>4858</v>
      </c>
      <c r="B4863" s="3" t="str">
        <f>"201511032852"</f>
        <v>201511032852</v>
      </c>
    </row>
    <row r="4864" spans="1:2" x14ac:dyDescent="0.25">
      <c r="A4864" s="3">
        <v>4859</v>
      </c>
      <c r="B4864" s="3" t="str">
        <f>"201511032933"</f>
        <v>201511032933</v>
      </c>
    </row>
    <row r="4865" spans="1:2" x14ac:dyDescent="0.25">
      <c r="A4865" s="3">
        <v>4860</v>
      </c>
      <c r="B4865" s="3" t="str">
        <f>"201511033040"</f>
        <v>201511033040</v>
      </c>
    </row>
    <row r="4866" spans="1:2" x14ac:dyDescent="0.25">
      <c r="A4866" s="3">
        <v>4861</v>
      </c>
      <c r="B4866" s="3" t="str">
        <f>"201511033078"</f>
        <v>201511033078</v>
      </c>
    </row>
    <row r="4867" spans="1:2" x14ac:dyDescent="0.25">
      <c r="A4867" s="3">
        <v>4862</v>
      </c>
      <c r="B4867" s="3" t="str">
        <f>"201511033087"</f>
        <v>201511033087</v>
      </c>
    </row>
    <row r="4868" spans="1:2" x14ac:dyDescent="0.25">
      <c r="A4868" s="3">
        <v>4863</v>
      </c>
      <c r="B4868" s="3" t="str">
        <f>"201511033095"</f>
        <v>201511033095</v>
      </c>
    </row>
    <row r="4869" spans="1:2" x14ac:dyDescent="0.25">
      <c r="A4869" s="3">
        <v>4864</v>
      </c>
      <c r="B4869" s="3" t="str">
        <f>"201511033116"</f>
        <v>201511033116</v>
      </c>
    </row>
    <row r="4870" spans="1:2" x14ac:dyDescent="0.25">
      <c r="A4870" s="3">
        <v>4865</v>
      </c>
      <c r="B4870" s="3" t="str">
        <f>"201511033132"</f>
        <v>201511033132</v>
      </c>
    </row>
    <row r="4871" spans="1:2" x14ac:dyDescent="0.25">
      <c r="A4871" s="3">
        <v>4866</v>
      </c>
      <c r="B4871" s="3" t="str">
        <f>"201511033138"</f>
        <v>201511033138</v>
      </c>
    </row>
    <row r="4872" spans="1:2" x14ac:dyDescent="0.25">
      <c r="A4872" s="3">
        <v>4867</v>
      </c>
      <c r="B4872" s="3" t="str">
        <f>"201511033163"</f>
        <v>201511033163</v>
      </c>
    </row>
    <row r="4873" spans="1:2" x14ac:dyDescent="0.25">
      <c r="A4873" s="3">
        <v>4868</v>
      </c>
      <c r="B4873" s="3" t="str">
        <f>"201511033215"</f>
        <v>201511033215</v>
      </c>
    </row>
    <row r="4874" spans="1:2" x14ac:dyDescent="0.25">
      <c r="A4874" s="3">
        <v>4869</v>
      </c>
      <c r="B4874" s="3" t="str">
        <f>"201511033234"</f>
        <v>201511033234</v>
      </c>
    </row>
    <row r="4875" spans="1:2" x14ac:dyDescent="0.25">
      <c r="A4875" s="3">
        <v>4870</v>
      </c>
      <c r="B4875" s="3" t="str">
        <f>"201511033268"</f>
        <v>201511033268</v>
      </c>
    </row>
    <row r="4876" spans="1:2" x14ac:dyDescent="0.25">
      <c r="A4876" s="3">
        <v>4871</v>
      </c>
      <c r="B4876" s="3" t="str">
        <f>"201511033288"</f>
        <v>201511033288</v>
      </c>
    </row>
    <row r="4877" spans="1:2" x14ac:dyDescent="0.25">
      <c r="A4877" s="3">
        <v>4872</v>
      </c>
      <c r="B4877" s="3" t="str">
        <f>"201511033310"</f>
        <v>201511033310</v>
      </c>
    </row>
    <row r="4878" spans="1:2" x14ac:dyDescent="0.25">
      <c r="A4878" s="3">
        <v>4873</v>
      </c>
      <c r="B4878" s="3" t="str">
        <f>"201511033316"</f>
        <v>201511033316</v>
      </c>
    </row>
    <row r="4879" spans="1:2" x14ac:dyDescent="0.25">
      <c r="A4879" s="3">
        <v>4874</v>
      </c>
      <c r="B4879" s="3" t="str">
        <f>"201511033357"</f>
        <v>201511033357</v>
      </c>
    </row>
    <row r="4880" spans="1:2" x14ac:dyDescent="0.25">
      <c r="A4880" s="3">
        <v>4875</v>
      </c>
      <c r="B4880" s="3" t="str">
        <f>"201511033358"</f>
        <v>201511033358</v>
      </c>
    </row>
    <row r="4881" spans="1:2" x14ac:dyDescent="0.25">
      <c r="A4881" s="3">
        <v>4876</v>
      </c>
      <c r="B4881" s="3" t="str">
        <f>"201511033445"</f>
        <v>201511033445</v>
      </c>
    </row>
    <row r="4882" spans="1:2" x14ac:dyDescent="0.25">
      <c r="A4882" s="3">
        <v>4877</v>
      </c>
      <c r="B4882" s="3" t="str">
        <f>"201511033449"</f>
        <v>201511033449</v>
      </c>
    </row>
    <row r="4883" spans="1:2" x14ac:dyDescent="0.25">
      <c r="A4883" s="3">
        <v>4878</v>
      </c>
      <c r="B4883" s="3" t="str">
        <f>"201511033454"</f>
        <v>201511033454</v>
      </c>
    </row>
    <row r="4884" spans="1:2" x14ac:dyDescent="0.25">
      <c r="A4884" s="3">
        <v>4879</v>
      </c>
      <c r="B4884" s="3" t="str">
        <f>"201511033497"</f>
        <v>201511033497</v>
      </c>
    </row>
    <row r="4885" spans="1:2" x14ac:dyDescent="0.25">
      <c r="A4885" s="3">
        <v>4880</v>
      </c>
      <c r="B4885" s="3" t="str">
        <f>"201511033511"</f>
        <v>201511033511</v>
      </c>
    </row>
    <row r="4886" spans="1:2" x14ac:dyDescent="0.25">
      <c r="A4886" s="3">
        <v>4881</v>
      </c>
      <c r="B4886" s="3" t="str">
        <f>"201511033679"</f>
        <v>201511033679</v>
      </c>
    </row>
    <row r="4887" spans="1:2" x14ac:dyDescent="0.25">
      <c r="A4887" s="3">
        <v>4882</v>
      </c>
      <c r="B4887" s="3" t="str">
        <f>"201511033692"</f>
        <v>201511033692</v>
      </c>
    </row>
    <row r="4888" spans="1:2" x14ac:dyDescent="0.25">
      <c r="A4888" s="3">
        <v>4883</v>
      </c>
      <c r="B4888" s="3" t="str">
        <f>"201511033711"</f>
        <v>201511033711</v>
      </c>
    </row>
    <row r="4889" spans="1:2" x14ac:dyDescent="0.25">
      <c r="A4889" s="3">
        <v>4884</v>
      </c>
      <c r="B4889" s="3" t="str">
        <f>"201511033737"</f>
        <v>201511033737</v>
      </c>
    </row>
    <row r="4890" spans="1:2" x14ac:dyDescent="0.25">
      <c r="A4890" s="3">
        <v>4885</v>
      </c>
      <c r="B4890" s="3" t="str">
        <f>"201511033746"</f>
        <v>201511033746</v>
      </c>
    </row>
    <row r="4891" spans="1:2" x14ac:dyDescent="0.25">
      <c r="A4891" s="3">
        <v>4886</v>
      </c>
      <c r="B4891" s="3" t="str">
        <f>"201511033747"</f>
        <v>201511033747</v>
      </c>
    </row>
    <row r="4892" spans="1:2" x14ac:dyDescent="0.25">
      <c r="A4892" s="3">
        <v>4887</v>
      </c>
      <c r="B4892" s="3" t="str">
        <f>"201511033846"</f>
        <v>201511033846</v>
      </c>
    </row>
    <row r="4893" spans="1:2" x14ac:dyDescent="0.25">
      <c r="A4893" s="3">
        <v>4888</v>
      </c>
      <c r="B4893" s="3" t="str">
        <f>"201511033857"</f>
        <v>201511033857</v>
      </c>
    </row>
    <row r="4894" spans="1:2" x14ac:dyDescent="0.25">
      <c r="A4894" s="3">
        <v>4889</v>
      </c>
      <c r="B4894" s="3" t="str">
        <f>"201511033876"</f>
        <v>201511033876</v>
      </c>
    </row>
    <row r="4895" spans="1:2" x14ac:dyDescent="0.25">
      <c r="A4895" s="3">
        <v>4890</v>
      </c>
      <c r="B4895" s="3" t="str">
        <f>"201511033888"</f>
        <v>201511033888</v>
      </c>
    </row>
    <row r="4896" spans="1:2" x14ac:dyDescent="0.25">
      <c r="A4896" s="3">
        <v>4891</v>
      </c>
      <c r="B4896" s="3" t="str">
        <f>"201511033924"</f>
        <v>201511033924</v>
      </c>
    </row>
    <row r="4897" spans="1:2" x14ac:dyDescent="0.25">
      <c r="A4897" s="3">
        <v>4892</v>
      </c>
      <c r="B4897" s="3" t="str">
        <f>"201511033928"</f>
        <v>201511033928</v>
      </c>
    </row>
    <row r="4898" spans="1:2" x14ac:dyDescent="0.25">
      <c r="A4898" s="3">
        <v>4893</v>
      </c>
      <c r="B4898" s="3" t="str">
        <f>"201511033972"</f>
        <v>201511033972</v>
      </c>
    </row>
    <row r="4899" spans="1:2" x14ac:dyDescent="0.25">
      <c r="A4899" s="3">
        <v>4894</v>
      </c>
      <c r="B4899" s="3" t="str">
        <f>"201511034037"</f>
        <v>201511034037</v>
      </c>
    </row>
    <row r="4900" spans="1:2" x14ac:dyDescent="0.25">
      <c r="A4900" s="3">
        <v>4895</v>
      </c>
      <c r="B4900" s="3" t="str">
        <f>"201511034064"</f>
        <v>201511034064</v>
      </c>
    </row>
    <row r="4901" spans="1:2" x14ac:dyDescent="0.25">
      <c r="A4901" s="3">
        <v>4896</v>
      </c>
      <c r="B4901" s="3" t="str">
        <f>"201511034070"</f>
        <v>201511034070</v>
      </c>
    </row>
    <row r="4902" spans="1:2" x14ac:dyDescent="0.25">
      <c r="A4902" s="3">
        <v>4897</v>
      </c>
      <c r="B4902" s="3" t="str">
        <f>"201511034128"</f>
        <v>201511034128</v>
      </c>
    </row>
    <row r="4903" spans="1:2" x14ac:dyDescent="0.25">
      <c r="A4903" s="3">
        <v>4898</v>
      </c>
      <c r="B4903" s="3" t="str">
        <f>"201511034154"</f>
        <v>201511034154</v>
      </c>
    </row>
    <row r="4904" spans="1:2" x14ac:dyDescent="0.25">
      <c r="A4904" s="3">
        <v>4899</v>
      </c>
      <c r="B4904" s="3" t="str">
        <f>"201511034164"</f>
        <v>201511034164</v>
      </c>
    </row>
    <row r="4905" spans="1:2" x14ac:dyDescent="0.25">
      <c r="A4905" s="3">
        <v>4900</v>
      </c>
      <c r="B4905" s="3" t="str">
        <f>"201511034166"</f>
        <v>201511034166</v>
      </c>
    </row>
    <row r="4906" spans="1:2" x14ac:dyDescent="0.25">
      <c r="A4906" s="3">
        <v>4901</v>
      </c>
      <c r="B4906" s="3" t="str">
        <f>"201511034218"</f>
        <v>201511034218</v>
      </c>
    </row>
    <row r="4907" spans="1:2" x14ac:dyDescent="0.25">
      <c r="A4907" s="3">
        <v>4902</v>
      </c>
      <c r="B4907" s="3" t="str">
        <f>"201511034285"</f>
        <v>201511034285</v>
      </c>
    </row>
    <row r="4908" spans="1:2" x14ac:dyDescent="0.25">
      <c r="A4908" s="3">
        <v>4903</v>
      </c>
      <c r="B4908" s="3" t="str">
        <f>"201511034299"</f>
        <v>201511034299</v>
      </c>
    </row>
    <row r="4909" spans="1:2" x14ac:dyDescent="0.25">
      <c r="A4909" s="3">
        <v>4904</v>
      </c>
      <c r="B4909" s="3" t="str">
        <f>"201511034301"</f>
        <v>201511034301</v>
      </c>
    </row>
    <row r="4910" spans="1:2" x14ac:dyDescent="0.25">
      <c r="A4910" s="3">
        <v>4905</v>
      </c>
      <c r="B4910" s="3" t="str">
        <f>"201511034313"</f>
        <v>201511034313</v>
      </c>
    </row>
    <row r="4911" spans="1:2" x14ac:dyDescent="0.25">
      <c r="A4911" s="3">
        <v>4906</v>
      </c>
      <c r="B4911" s="3" t="str">
        <f>"201511034315"</f>
        <v>201511034315</v>
      </c>
    </row>
    <row r="4912" spans="1:2" x14ac:dyDescent="0.25">
      <c r="A4912" s="3">
        <v>4907</v>
      </c>
      <c r="B4912" s="3" t="str">
        <f>"201511034413"</f>
        <v>201511034413</v>
      </c>
    </row>
    <row r="4913" spans="1:2" x14ac:dyDescent="0.25">
      <c r="A4913" s="3">
        <v>4908</v>
      </c>
      <c r="B4913" s="3" t="str">
        <f>"201511034452"</f>
        <v>201511034452</v>
      </c>
    </row>
    <row r="4914" spans="1:2" x14ac:dyDescent="0.25">
      <c r="A4914" s="3">
        <v>4909</v>
      </c>
      <c r="B4914" s="3" t="str">
        <f>"201511034506"</f>
        <v>201511034506</v>
      </c>
    </row>
    <row r="4915" spans="1:2" x14ac:dyDescent="0.25">
      <c r="A4915" s="3">
        <v>4910</v>
      </c>
      <c r="B4915" s="3" t="str">
        <f>"201511034537"</f>
        <v>201511034537</v>
      </c>
    </row>
    <row r="4916" spans="1:2" x14ac:dyDescent="0.25">
      <c r="A4916" s="3">
        <v>4911</v>
      </c>
      <c r="B4916" s="3" t="str">
        <f>"201511034574"</f>
        <v>201511034574</v>
      </c>
    </row>
    <row r="4917" spans="1:2" x14ac:dyDescent="0.25">
      <c r="A4917" s="3">
        <v>4912</v>
      </c>
      <c r="B4917" s="3" t="str">
        <f>"201511034585"</f>
        <v>201511034585</v>
      </c>
    </row>
    <row r="4918" spans="1:2" x14ac:dyDescent="0.25">
      <c r="A4918" s="3">
        <v>4913</v>
      </c>
      <c r="B4918" s="3" t="str">
        <f>"201511034623"</f>
        <v>201511034623</v>
      </c>
    </row>
    <row r="4919" spans="1:2" x14ac:dyDescent="0.25">
      <c r="A4919" s="3">
        <v>4914</v>
      </c>
      <c r="B4919" s="3" t="str">
        <f>"201511034643"</f>
        <v>201511034643</v>
      </c>
    </row>
    <row r="4920" spans="1:2" x14ac:dyDescent="0.25">
      <c r="A4920" s="3">
        <v>4915</v>
      </c>
      <c r="B4920" s="3" t="str">
        <f>"201511034703"</f>
        <v>201511034703</v>
      </c>
    </row>
    <row r="4921" spans="1:2" x14ac:dyDescent="0.25">
      <c r="A4921" s="3">
        <v>4916</v>
      </c>
      <c r="B4921" s="3" t="str">
        <f>"201511034729"</f>
        <v>201511034729</v>
      </c>
    </row>
    <row r="4922" spans="1:2" x14ac:dyDescent="0.25">
      <c r="A4922" s="3">
        <v>4917</v>
      </c>
      <c r="B4922" s="3" t="str">
        <f>"201511034761"</f>
        <v>201511034761</v>
      </c>
    </row>
    <row r="4923" spans="1:2" x14ac:dyDescent="0.25">
      <c r="A4923" s="3">
        <v>4918</v>
      </c>
      <c r="B4923" s="3" t="str">
        <f>"201511034766"</f>
        <v>201511034766</v>
      </c>
    </row>
    <row r="4924" spans="1:2" x14ac:dyDescent="0.25">
      <c r="A4924" s="3">
        <v>4919</v>
      </c>
      <c r="B4924" s="3" t="str">
        <f>"201511034780"</f>
        <v>201511034780</v>
      </c>
    </row>
    <row r="4925" spans="1:2" x14ac:dyDescent="0.25">
      <c r="A4925" s="3">
        <v>4920</v>
      </c>
      <c r="B4925" s="3" t="str">
        <f>"201511034815"</f>
        <v>201511034815</v>
      </c>
    </row>
    <row r="4926" spans="1:2" x14ac:dyDescent="0.25">
      <c r="A4926" s="3">
        <v>4921</v>
      </c>
      <c r="B4926" s="3" t="str">
        <f>"201511034855"</f>
        <v>201511034855</v>
      </c>
    </row>
    <row r="4927" spans="1:2" x14ac:dyDescent="0.25">
      <c r="A4927" s="3">
        <v>4922</v>
      </c>
      <c r="B4927" s="3" t="str">
        <f>"201511034930"</f>
        <v>201511034930</v>
      </c>
    </row>
    <row r="4928" spans="1:2" x14ac:dyDescent="0.25">
      <c r="A4928" s="3">
        <v>4923</v>
      </c>
      <c r="B4928" s="3" t="str">
        <f>"201511034944"</f>
        <v>201511034944</v>
      </c>
    </row>
    <row r="4929" spans="1:2" x14ac:dyDescent="0.25">
      <c r="A4929" s="3">
        <v>4924</v>
      </c>
      <c r="B4929" s="3" t="str">
        <f>"201511034950"</f>
        <v>201511034950</v>
      </c>
    </row>
    <row r="4930" spans="1:2" x14ac:dyDescent="0.25">
      <c r="A4930" s="3">
        <v>4925</v>
      </c>
      <c r="B4930" s="3" t="str">
        <f>"201511034972"</f>
        <v>201511034972</v>
      </c>
    </row>
    <row r="4931" spans="1:2" x14ac:dyDescent="0.25">
      <c r="A4931" s="3">
        <v>4926</v>
      </c>
      <c r="B4931" s="3" t="str">
        <f>"201511034988"</f>
        <v>201511034988</v>
      </c>
    </row>
    <row r="4932" spans="1:2" x14ac:dyDescent="0.25">
      <c r="A4932" s="3">
        <v>4927</v>
      </c>
      <c r="B4932" s="3" t="str">
        <f>"201511035014"</f>
        <v>201511035014</v>
      </c>
    </row>
    <row r="4933" spans="1:2" x14ac:dyDescent="0.25">
      <c r="A4933" s="3">
        <v>4928</v>
      </c>
      <c r="B4933" s="3" t="str">
        <f>"201511035023"</f>
        <v>201511035023</v>
      </c>
    </row>
    <row r="4934" spans="1:2" x14ac:dyDescent="0.25">
      <c r="A4934" s="3">
        <v>4929</v>
      </c>
      <c r="B4934" s="3" t="str">
        <f>"201511035030"</f>
        <v>201511035030</v>
      </c>
    </row>
    <row r="4935" spans="1:2" x14ac:dyDescent="0.25">
      <c r="A4935" s="3">
        <v>4930</v>
      </c>
      <c r="B4935" s="3" t="str">
        <f>"201511035048"</f>
        <v>201511035048</v>
      </c>
    </row>
    <row r="4936" spans="1:2" x14ac:dyDescent="0.25">
      <c r="A4936" s="3">
        <v>4931</v>
      </c>
      <c r="B4936" s="3" t="str">
        <f>"201511035049"</f>
        <v>201511035049</v>
      </c>
    </row>
    <row r="4937" spans="1:2" x14ac:dyDescent="0.25">
      <c r="A4937" s="3">
        <v>4932</v>
      </c>
      <c r="B4937" s="3" t="str">
        <f>"201511035075"</f>
        <v>201511035075</v>
      </c>
    </row>
    <row r="4938" spans="1:2" x14ac:dyDescent="0.25">
      <c r="A4938" s="3">
        <v>4933</v>
      </c>
      <c r="B4938" s="3" t="str">
        <f>"201511035080"</f>
        <v>201511035080</v>
      </c>
    </row>
    <row r="4939" spans="1:2" x14ac:dyDescent="0.25">
      <c r="A4939" s="3">
        <v>4934</v>
      </c>
      <c r="B4939" s="3" t="str">
        <f>"201511035096"</f>
        <v>201511035096</v>
      </c>
    </row>
    <row r="4940" spans="1:2" x14ac:dyDescent="0.25">
      <c r="A4940" s="3">
        <v>4935</v>
      </c>
      <c r="B4940" s="3" t="str">
        <f>"201511035136"</f>
        <v>201511035136</v>
      </c>
    </row>
    <row r="4941" spans="1:2" x14ac:dyDescent="0.25">
      <c r="A4941" s="3">
        <v>4936</v>
      </c>
      <c r="B4941" s="3" t="str">
        <f>"201511035143"</f>
        <v>201511035143</v>
      </c>
    </row>
    <row r="4942" spans="1:2" x14ac:dyDescent="0.25">
      <c r="A4942" s="3">
        <v>4937</v>
      </c>
      <c r="B4942" s="3" t="str">
        <f>"201511035151"</f>
        <v>201511035151</v>
      </c>
    </row>
    <row r="4943" spans="1:2" x14ac:dyDescent="0.25">
      <c r="A4943" s="3">
        <v>4938</v>
      </c>
      <c r="B4943" s="3" t="str">
        <f>"201511035187"</f>
        <v>201511035187</v>
      </c>
    </row>
    <row r="4944" spans="1:2" x14ac:dyDescent="0.25">
      <c r="A4944" s="3">
        <v>4939</v>
      </c>
      <c r="B4944" s="3" t="str">
        <f>"201511035195"</f>
        <v>201511035195</v>
      </c>
    </row>
    <row r="4945" spans="1:2" x14ac:dyDescent="0.25">
      <c r="A4945" s="3">
        <v>4940</v>
      </c>
      <c r="B4945" s="3" t="str">
        <f>"201511035197"</f>
        <v>201511035197</v>
      </c>
    </row>
    <row r="4946" spans="1:2" x14ac:dyDescent="0.25">
      <c r="A4946" s="3">
        <v>4941</v>
      </c>
      <c r="B4946" s="3" t="str">
        <f>"201511035222"</f>
        <v>201511035222</v>
      </c>
    </row>
    <row r="4947" spans="1:2" x14ac:dyDescent="0.25">
      <c r="A4947" s="3">
        <v>4942</v>
      </c>
      <c r="B4947" s="3" t="str">
        <f>"201511035244"</f>
        <v>201511035244</v>
      </c>
    </row>
    <row r="4948" spans="1:2" x14ac:dyDescent="0.25">
      <c r="A4948" s="3">
        <v>4943</v>
      </c>
      <c r="B4948" s="3" t="str">
        <f>"201511035261"</f>
        <v>201511035261</v>
      </c>
    </row>
    <row r="4949" spans="1:2" x14ac:dyDescent="0.25">
      <c r="A4949" s="3">
        <v>4944</v>
      </c>
      <c r="B4949" s="3" t="str">
        <f>"201511035266"</f>
        <v>201511035266</v>
      </c>
    </row>
    <row r="4950" spans="1:2" x14ac:dyDescent="0.25">
      <c r="A4950" s="3">
        <v>4945</v>
      </c>
      <c r="B4950" s="3" t="str">
        <f>"201511035267"</f>
        <v>201511035267</v>
      </c>
    </row>
    <row r="4951" spans="1:2" x14ac:dyDescent="0.25">
      <c r="A4951" s="3">
        <v>4946</v>
      </c>
      <c r="B4951" s="3" t="str">
        <f>"201511035330"</f>
        <v>201511035330</v>
      </c>
    </row>
    <row r="4952" spans="1:2" x14ac:dyDescent="0.25">
      <c r="A4952" s="3">
        <v>4947</v>
      </c>
      <c r="B4952" s="3" t="str">
        <f>"201511035375"</f>
        <v>201511035375</v>
      </c>
    </row>
    <row r="4953" spans="1:2" x14ac:dyDescent="0.25">
      <c r="A4953" s="3">
        <v>4948</v>
      </c>
      <c r="B4953" s="3" t="str">
        <f>"201511035438"</f>
        <v>201511035438</v>
      </c>
    </row>
    <row r="4954" spans="1:2" x14ac:dyDescent="0.25">
      <c r="A4954" s="3">
        <v>4949</v>
      </c>
      <c r="B4954" s="3" t="str">
        <f>"201511035439"</f>
        <v>201511035439</v>
      </c>
    </row>
    <row r="4955" spans="1:2" x14ac:dyDescent="0.25">
      <c r="A4955" s="3">
        <v>4950</v>
      </c>
      <c r="B4955" s="3" t="str">
        <f>"201511035444"</f>
        <v>201511035444</v>
      </c>
    </row>
    <row r="4956" spans="1:2" x14ac:dyDescent="0.25">
      <c r="A4956" s="3">
        <v>4951</v>
      </c>
      <c r="B4956" s="3" t="str">
        <f>"201511035497"</f>
        <v>201511035497</v>
      </c>
    </row>
    <row r="4957" spans="1:2" x14ac:dyDescent="0.25">
      <c r="A4957" s="3">
        <v>4952</v>
      </c>
      <c r="B4957" s="3" t="str">
        <f>"201511035526"</f>
        <v>201511035526</v>
      </c>
    </row>
    <row r="4958" spans="1:2" x14ac:dyDescent="0.25">
      <c r="A4958" s="3">
        <v>4953</v>
      </c>
      <c r="B4958" s="3" t="str">
        <f>"201511035558"</f>
        <v>201511035558</v>
      </c>
    </row>
    <row r="4959" spans="1:2" x14ac:dyDescent="0.25">
      <c r="A4959" s="3">
        <v>4954</v>
      </c>
      <c r="B4959" s="3" t="str">
        <f>"201511035580"</f>
        <v>201511035580</v>
      </c>
    </row>
    <row r="4960" spans="1:2" x14ac:dyDescent="0.25">
      <c r="A4960" s="3">
        <v>4955</v>
      </c>
      <c r="B4960" s="3" t="str">
        <f>"201511035593"</f>
        <v>201511035593</v>
      </c>
    </row>
    <row r="4961" spans="1:2" x14ac:dyDescent="0.25">
      <c r="A4961" s="3">
        <v>4956</v>
      </c>
      <c r="B4961" s="3" t="str">
        <f>"201511035596"</f>
        <v>201511035596</v>
      </c>
    </row>
    <row r="4962" spans="1:2" x14ac:dyDescent="0.25">
      <c r="A4962" s="3">
        <v>4957</v>
      </c>
      <c r="B4962" s="3" t="str">
        <f>"201511035600"</f>
        <v>201511035600</v>
      </c>
    </row>
    <row r="4963" spans="1:2" x14ac:dyDescent="0.25">
      <c r="A4963" s="3">
        <v>4958</v>
      </c>
      <c r="B4963" s="3" t="str">
        <f>"201511035607"</f>
        <v>201511035607</v>
      </c>
    </row>
    <row r="4964" spans="1:2" x14ac:dyDescent="0.25">
      <c r="A4964" s="3">
        <v>4959</v>
      </c>
      <c r="B4964" s="3" t="str">
        <f>"201511035622"</f>
        <v>201511035622</v>
      </c>
    </row>
    <row r="4965" spans="1:2" x14ac:dyDescent="0.25">
      <c r="A4965" s="3">
        <v>4960</v>
      </c>
      <c r="B4965" s="3" t="str">
        <f>"201511035635"</f>
        <v>201511035635</v>
      </c>
    </row>
    <row r="4966" spans="1:2" x14ac:dyDescent="0.25">
      <c r="A4966" s="3">
        <v>4961</v>
      </c>
      <c r="B4966" s="3" t="str">
        <f>"201511035683"</f>
        <v>201511035683</v>
      </c>
    </row>
    <row r="4967" spans="1:2" x14ac:dyDescent="0.25">
      <c r="A4967" s="3">
        <v>4962</v>
      </c>
      <c r="B4967" s="3" t="str">
        <f>"201511035698"</f>
        <v>201511035698</v>
      </c>
    </row>
    <row r="4968" spans="1:2" x14ac:dyDescent="0.25">
      <c r="A4968" s="3">
        <v>4963</v>
      </c>
      <c r="B4968" s="3" t="str">
        <f>"201511035712"</f>
        <v>201511035712</v>
      </c>
    </row>
    <row r="4969" spans="1:2" x14ac:dyDescent="0.25">
      <c r="A4969" s="3">
        <v>4964</v>
      </c>
      <c r="B4969" s="3" t="str">
        <f>"201511035831"</f>
        <v>201511035831</v>
      </c>
    </row>
    <row r="4970" spans="1:2" x14ac:dyDescent="0.25">
      <c r="A4970" s="3">
        <v>4965</v>
      </c>
      <c r="B4970" s="3" t="str">
        <f>"201511035849"</f>
        <v>201511035849</v>
      </c>
    </row>
    <row r="4971" spans="1:2" x14ac:dyDescent="0.25">
      <c r="A4971" s="3">
        <v>4966</v>
      </c>
      <c r="B4971" s="3" t="str">
        <f>"201511035880"</f>
        <v>201511035880</v>
      </c>
    </row>
    <row r="4972" spans="1:2" x14ac:dyDescent="0.25">
      <c r="A4972" s="3">
        <v>4967</v>
      </c>
      <c r="B4972" s="3" t="str">
        <f>"201511035886"</f>
        <v>201511035886</v>
      </c>
    </row>
    <row r="4973" spans="1:2" x14ac:dyDescent="0.25">
      <c r="A4973" s="3">
        <v>4968</v>
      </c>
      <c r="B4973" s="3" t="str">
        <f>"201511035888"</f>
        <v>201511035888</v>
      </c>
    </row>
    <row r="4974" spans="1:2" x14ac:dyDescent="0.25">
      <c r="A4974" s="3">
        <v>4969</v>
      </c>
      <c r="B4974" s="3" t="str">
        <f>"201511035899"</f>
        <v>201511035899</v>
      </c>
    </row>
    <row r="4975" spans="1:2" x14ac:dyDescent="0.25">
      <c r="A4975" s="3">
        <v>4970</v>
      </c>
      <c r="B4975" s="3" t="str">
        <f>"201511035902"</f>
        <v>201511035902</v>
      </c>
    </row>
    <row r="4976" spans="1:2" x14ac:dyDescent="0.25">
      <c r="A4976" s="3">
        <v>4971</v>
      </c>
      <c r="B4976" s="3" t="str">
        <f>"201511035908"</f>
        <v>201511035908</v>
      </c>
    </row>
    <row r="4977" spans="1:2" x14ac:dyDescent="0.25">
      <c r="A4977" s="3">
        <v>4972</v>
      </c>
      <c r="B4977" s="3" t="str">
        <f>"201511035944"</f>
        <v>201511035944</v>
      </c>
    </row>
    <row r="4978" spans="1:2" x14ac:dyDescent="0.25">
      <c r="A4978" s="3">
        <v>4973</v>
      </c>
      <c r="B4978" s="3" t="str">
        <f>"201511036058"</f>
        <v>201511036058</v>
      </c>
    </row>
    <row r="4979" spans="1:2" x14ac:dyDescent="0.25">
      <c r="A4979" s="3">
        <v>4974</v>
      </c>
      <c r="B4979" s="3" t="str">
        <f>"201511036101"</f>
        <v>201511036101</v>
      </c>
    </row>
    <row r="4980" spans="1:2" x14ac:dyDescent="0.25">
      <c r="A4980" s="3">
        <v>4975</v>
      </c>
      <c r="B4980" s="3" t="str">
        <f>"201511036110"</f>
        <v>201511036110</v>
      </c>
    </row>
    <row r="4981" spans="1:2" x14ac:dyDescent="0.25">
      <c r="A4981" s="3">
        <v>4976</v>
      </c>
      <c r="B4981" s="3" t="str">
        <f>"201511036127"</f>
        <v>201511036127</v>
      </c>
    </row>
    <row r="4982" spans="1:2" x14ac:dyDescent="0.25">
      <c r="A4982" s="3">
        <v>4977</v>
      </c>
      <c r="B4982" s="3" t="str">
        <f>"201511036143"</f>
        <v>201511036143</v>
      </c>
    </row>
    <row r="4983" spans="1:2" x14ac:dyDescent="0.25">
      <c r="A4983" s="3">
        <v>4978</v>
      </c>
      <c r="B4983" s="3" t="str">
        <f>"201511036159"</f>
        <v>201511036159</v>
      </c>
    </row>
    <row r="4984" spans="1:2" x14ac:dyDescent="0.25">
      <c r="A4984" s="3">
        <v>4979</v>
      </c>
      <c r="B4984" s="3" t="str">
        <f>"201511036194"</f>
        <v>201511036194</v>
      </c>
    </row>
    <row r="4985" spans="1:2" x14ac:dyDescent="0.25">
      <c r="A4985" s="3">
        <v>4980</v>
      </c>
      <c r="B4985" s="3" t="str">
        <f>"201511036197"</f>
        <v>201511036197</v>
      </c>
    </row>
    <row r="4986" spans="1:2" x14ac:dyDescent="0.25">
      <c r="A4986" s="3">
        <v>4981</v>
      </c>
      <c r="B4986" s="3" t="str">
        <f>"201511036219"</f>
        <v>201511036219</v>
      </c>
    </row>
    <row r="4987" spans="1:2" x14ac:dyDescent="0.25">
      <c r="A4987" s="3">
        <v>4982</v>
      </c>
      <c r="B4987" s="3" t="str">
        <f>"201511036278"</f>
        <v>201511036278</v>
      </c>
    </row>
    <row r="4988" spans="1:2" x14ac:dyDescent="0.25">
      <c r="A4988" s="3">
        <v>4983</v>
      </c>
      <c r="B4988" s="3" t="str">
        <f>"201511036315"</f>
        <v>201511036315</v>
      </c>
    </row>
    <row r="4989" spans="1:2" x14ac:dyDescent="0.25">
      <c r="A4989" s="3">
        <v>4984</v>
      </c>
      <c r="B4989" s="3" t="str">
        <f>"201511036324"</f>
        <v>201511036324</v>
      </c>
    </row>
    <row r="4990" spans="1:2" x14ac:dyDescent="0.25">
      <c r="A4990" s="3">
        <v>4985</v>
      </c>
      <c r="B4990" s="3" t="str">
        <f>"201511036356"</f>
        <v>201511036356</v>
      </c>
    </row>
    <row r="4991" spans="1:2" x14ac:dyDescent="0.25">
      <c r="A4991" s="3">
        <v>4986</v>
      </c>
      <c r="B4991" s="3" t="str">
        <f>"201511036378"</f>
        <v>201511036378</v>
      </c>
    </row>
    <row r="4992" spans="1:2" x14ac:dyDescent="0.25">
      <c r="A4992" s="3">
        <v>4987</v>
      </c>
      <c r="B4992" s="3" t="str">
        <f>"201511036385"</f>
        <v>201511036385</v>
      </c>
    </row>
    <row r="4993" spans="1:2" x14ac:dyDescent="0.25">
      <c r="A4993" s="3">
        <v>4988</v>
      </c>
      <c r="B4993" s="3" t="str">
        <f>"201511036397"</f>
        <v>201511036397</v>
      </c>
    </row>
    <row r="4994" spans="1:2" x14ac:dyDescent="0.25">
      <c r="A4994" s="3">
        <v>4989</v>
      </c>
      <c r="B4994" s="3" t="str">
        <f>"201511036462"</f>
        <v>201511036462</v>
      </c>
    </row>
    <row r="4995" spans="1:2" x14ac:dyDescent="0.25">
      <c r="A4995" s="3">
        <v>4990</v>
      </c>
      <c r="B4995" s="3" t="str">
        <f>"201511036479"</f>
        <v>201511036479</v>
      </c>
    </row>
    <row r="4996" spans="1:2" x14ac:dyDescent="0.25">
      <c r="A4996" s="3">
        <v>4991</v>
      </c>
      <c r="B4996" s="3" t="str">
        <f>"201511036487"</f>
        <v>201511036487</v>
      </c>
    </row>
    <row r="4997" spans="1:2" x14ac:dyDescent="0.25">
      <c r="A4997" s="3">
        <v>4992</v>
      </c>
      <c r="B4997" s="3" t="str">
        <f>"201511036492"</f>
        <v>201511036492</v>
      </c>
    </row>
    <row r="4998" spans="1:2" x14ac:dyDescent="0.25">
      <c r="A4998" s="3">
        <v>4993</v>
      </c>
      <c r="B4998" s="3" t="str">
        <f>"201511036580"</f>
        <v>201511036580</v>
      </c>
    </row>
    <row r="4999" spans="1:2" x14ac:dyDescent="0.25">
      <c r="A4999" s="3">
        <v>4994</v>
      </c>
      <c r="B4999" s="3" t="str">
        <f>"201511036581"</f>
        <v>201511036581</v>
      </c>
    </row>
    <row r="5000" spans="1:2" x14ac:dyDescent="0.25">
      <c r="A5000" s="3">
        <v>4995</v>
      </c>
      <c r="B5000" s="3" t="str">
        <f>"201511036601"</f>
        <v>201511036601</v>
      </c>
    </row>
    <row r="5001" spans="1:2" x14ac:dyDescent="0.25">
      <c r="A5001" s="3">
        <v>4996</v>
      </c>
      <c r="B5001" s="3" t="str">
        <f>"201511036636"</f>
        <v>201511036636</v>
      </c>
    </row>
    <row r="5002" spans="1:2" x14ac:dyDescent="0.25">
      <c r="A5002" s="3">
        <v>4997</v>
      </c>
      <c r="B5002" s="3" t="str">
        <f>"201511036708"</f>
        <v>201511036708</v>
      </c>
    </row>
    <row r="5003" spans="1:2" x14ac:dyDescent="0.25">
      <c r="A5003" s="3">
        <v>4998</v>
      </c>
      <c r="B5003" s="3" t="str">
        <f>"201511036722"</f>
        <v>201511036722</v>
      </c>
    </row>
    <row r="5004" spans="1:2" x14ac:dyDescent="0.25">
      <c r="A5004" s="3">
        <v>4999</v>
      </c>
      <c r="B5004" s="3" t="str">
        <f>"201511036729"</f>
        <v>201511036729</v>
      </c>
    </row>
    <row r="5005" spans="1:2" x14ac:dyDescent="0.25">
      <c r="A5005" s="3">
        <v>5000</v>
      </c>
      <c r="B5005" s="3" t="str">
        <f>"201511036788"</f>
        <v>201511036788</v>
      </c>
    </row>
    <row r="5006" spans="1:2" x14ac:dyDescent="0.25">
      <c r="A5006" s="3">
        <v>5001</v>
      </c>
      <c r="B5006" s="3" t="str">
        <f>"201511036823"</f>
        <v>201511036823</v>
      </c>
    </row>
    <row r="5007" spans="1:2" x14ac:dyDescent="0.25">
      <c r="A5007" s="3">
        <v>5002</v>
      </c>
      <c r="B5007" s="3" t="str">
        <f>"201511036826"</f>
        <v>201511036826</v>
      </c>
    </row>
    <row r="5008" spans="1:2" x14ac:dyDescent="0.25">
      <c r="A5008" s="3">
        <v>5003</v>
      </c>
      <c r="B5008" s="3" t="str">
        <f>"201511036836"</f>
        <v>201511036836</v>
      </c>
    </row>
    <row r="5009" spans="1:2" x14ac:dyDescent="0.25">
      <c r="A5009" s="3">
        <v>5004</v>
      </c>
      <c r="B5009" s="3" t="str">
        <f>"201511036850"</f>
        <v>201511036850</v>
      </c>
    </row>
    <row r="5010" spans="1:2" x14ac:dyDescent="0.25">
      <c r="A5010" s="3">
        <v>5005</v>
      </c>
      <c r="B5010" s="3" t="str">
        <f>"201511036855"</f>
        <v>201511036855</v>
      </c>
    </row>
    <row r="5011" spans="1:2" x14ac:dyDescent="0.25">
      <c r="A5011" s="3">
        <v>5006</v>
      </c>
      <c r="B5011" s="3" t="str">
        <f>"201511036967"</f>
        <v>201511036967</v>
      </c>
    </row>
    <row r="5012" spans="1:2" x14ac:dyDescent="0.25">
      <c r="A5012" s="3">
        <v>5007</v>
      </c>
      <c r="B5012" s="3" t="str">
        <f>"201511036983"</f>
        <v>201511036983</v>
      </c>
    </row>
    <row r="5013" spans="1:2" x14ac:dyDescent="0.25">
      <c r="A5013" s="3">
        <v>5008</v>
      </c>
      <c r="B5013" s="3" t="str">
        <f>"201511037000"</f>
        <v>201511037000</v>
      </c>
    </row>
    <row r="5014" spans="1:2" x14ac:dyDescent="0.25">
      <c r="A5014" s="3">
        <v>5009</v>
      </c>
      <c r="B5014" s="3" t="str">
        <f>"201511037006"</f>
        <v>201511037006</v>
      </c>
    </row>
    <row r="5015" spans="1:2" x14ac:dyDescent="0.25">
      <c r="A5015" s="3">
        <v>5010</v>
      </c>
      <c r="B5015" s="3" t="str">
        <f>"201511037010"</f>
        <v>201511037010</v>
      </c>
    </row>
    <row r="5016" spans="1:2" x14ac:dyDescent="0.25">
      <c r="A5016" s="3">
        <v>5011</v>
      </c>
      <c r="B5016" s="3" t="str">
        <f>"201511037039"</f>
        <v>201511037039</v>
      </c>
    </row>
    <row r="5017" spans="1:2" x14ac:dyDescent="0.25">
      <c r="A5017" s="3">
        <v>5012</v>
      </c>
      <c r="B5017" s="3" t="str">
        <f>"201511037047"</f>
        <v>201511037047</v>
      </c>
    </row>
    <row r="5018" spans="1:2" x14ac:dyDescent="0.25">
      <c r="A5018" s="3">
        <v>5013</v>
      </c>
      <c r="B5018" s="3" t="str">
        <f>"201511037082"</f>
        <v>201511037082</v>
      </c>
    </row>
    <row r="5019" spans="1:2" x14ac:dyDescent="0.25">
      <c r="A5019" s="3">
        <v>5014</v>
      </c>
      <c r="B5019" s="3" t="str">
        <f>"201511037093"</f>
        <v>201511037093</v>
      </c>
    </row>
    <row r="5020" spans="1:2" x14ac:dyDescent="0.25">
      <c r="A5020" s="3">
        <v>5015</v>
      </c>
      <c r="B5020" s="3" t="str">
        <f>"201511037116"</f>
        <v>201511037116</v>
      </c>
    </row>
    <row r="5021" spans="1:2" x14ac:dyDescent="0.25">
      <c r="A5021" s="3">
        <v>5016</v>
      </c>
      <c r="B5021" s="3" t="str">
        <f>"201511037178"</f>
        <v>201511037178</v>
      </c>
    </row>
    <row r="5022" spans="1:2" x14ac:dyDescent="0.25">
      <c r="A5022" s="3">
        <v>5017</v>
      </c>
      <c r="B5022" s="3" t="str">
        <f>"201511037196"</f>
        <v>201511037196</v>
      </c>
    </row>
    <row r="5023" spans="1:2" x14ac:dyDescent="0.25">
      <c r="A5023" s="3">
        <v>5018</v>
      </c>
      <c r="B5023" s="3" t="str">
        <f>"201511037259"</f>
        <v>201511037259</v>
      </c>
    </row>
    <row r="5024" spans="1:2" x14ac:dyDescent="0.25">
      <c r="A5024" s="3">
        <v>5019</v>
      </c>
      <c r="B5024" s="3" t="str">
        <f>"201511037329"</f>
        <v>201511037329</v>
      </c>
    </row>
    <row r="5025" spans="1:2" x14ac:dyDescent="0.25">
      <c r="A5025" s="3">
        <v>5020</v>
      </c>
      <c r="B5025" s="3" t="str">
        <f>"201511037346"</f>
        <v>201511037346</v>
      </c>
    </row>
    <row r="5026" spans="1:2" x14ac:dyDescent="0.25">
      <c r="A5026" s="3">
        <v>5021</v>
      </c>
      <c r="B5026" s="3" t="str">
        <f>"201511037415"</f>
        <v>201511037415</v>
      </c>
    </row>
    <row r="5027" spans="1:2" x14ac:dyDescent="0.25">
      <c r="A5027" s="3">
        <v>5022</v>
      </c>
      <c r="B5027" s="3" t="str">
        <f>"201511037445"</f>
        <v>201511037445</v>
      </c>
    </row>
    <row r="5028" spans="1:2" x14ac:dyDescent="0.25">
      <c r="A5028" s="3">
        <v>5023</v>
      </c>
      <c r="B5028" s="3" t="str">
        <f>"201511037453"</f>
        <v>201511037453</v>
      </c>
    </row>
    <row r="5029" spans="1:2" x14ac:dyDescent="0.25">
      <c r="A5029" s="3">
        <v>5024</v>
      </c>
      <c r="B5029" s="3" t="str">
        <f>"201511037632"</f>
        <v>201511037632</v>
      </c>
    </row>
    <row r="5030" spans="1:2" x14ac:dyDescent="0.25">
      <c r="A5030" s="3">
        <v>5025</v>
      </c>
      <c r="B5030" s="3" t="str">
        <f>"201511037656"</f>
        <v>201511037656</v>
      </c>
    </row>
    <row r="5031" spans="1:2" x14ac:dyDescent="0.25">
      <c r="A5031" s="3">
        <v>5026</v>
      </c>
      <c r="B5031" s="3" t="str">
        <f>"201511037674"</f>
        <v>201511037674</v>
      </c>
    </row>
    <row r="5032" spans="1:2" x14ac:dyDescent="0.25">
      <c r="A5032" s="3">
        <v>5027</v>
      </c>
      <c r="B5032" s="3" t="str">
        <f>"201511037675"</f>
        <v>201511037675</v>
      </c>
    </row>
    <row r="5033" spans="1:2" x14ac:dyDescent="0.25">
      <c r="A5033" s="3">
        <v>5028</v>
      </c>
      <c r="B5033" s="3" t="str">
        <f>"201511037728"</f>
        <v>201511037728</v>
      </c>
    </row>
    <row r="5034" spans="1:2" x14ac:dyDescent="0.25">
      <c r="A5034" s="3">
        <v>5029</v>
      </c>
      <c r="B5034" s="3" t="str">
        <f>"201511037748"</f>
        <v>201511037748</v>
      </c>
    </row>
    <row r="5035" spans="1:2" x14ac:dyDescent="0.25">
      <c r="A5035" s="3">
        <v>5030</v>
      </c>
      <c r="B5035" s="3" t="str">
        <f>"201511037781"</f>
        <v>201511037781</v>
      </c>
    </row>
    <row r="5036" spans="1:2" x14ac:dyDescent="0.25">
      <c r="A5036" s="3">
        <v>5031</v>
      </c>
      <c r="B5036" s="3" t="str">
        <f>"201511037789"</f>
        <v>201511037789</v>
      </c>
    </row>
    <row r="5037" spans="1:2" x14ac:dyDescent="0.25">
      <c r="A5037" s="3">
        <v>5032</v>
      </c>
      <c r="B5037" s="3" t="str">
        <f>"201511037806"</f>
        <v>201511037806</v>
      </c>
    </row>
    <row r="5038" spans="1:2" x14ac:dyDescent="0.25">
      <c r="A5038" s="3">
        <v>5033</v>
      </c>
      <c r="B5038" s="3" t="str">
        <f>"201511037821"</f>
        <v>201511037821</v>
      </c>
    </row>
    <row r="5039" spans="1:2" x14ac:dyDescent="0.25">
      <c r="A5039" s="3">
        <v>5034</v>
      </c>
      <c r="B5039" s="3" t="str">
        <f>"201511037919"</f>
        <v>201511037919</v>
      </c>
    </row>
    <row r="5040" spans="1:2" x14ac:dyDescent="0.25">
      <c r="A5040" s="3">
        <v>5035</v>
      </c>
      <c r="B5040" s="3" t="str">
        <f>"201511037937"</f>
        <v>201511037937</v>
      </c>
    </row>
    <row r="5041" spans="1:2" x14ac:dyDescent="0.25">
      <c r="A5041" s="3">
        <v>5036</v>
      </c>
      <c r="B5041" s="3" t="str">
        <f>"201511037941"</f>
        <v>201511037941</v>
      </c>
    </row>
    <row r="5042" spans="1:2" x14ac:dyDescent="0.25">
      <c r="A5042" s="3">
        <v>5037</v>
      </c>
      <c r="B5042" s="3" t="str">
        <f>"201511037952"</f>
        <v>201511037952</v>
      </c>
    </row>
    <row r="5043" spans="1:2" x14ac:dyDescent="0.25">
      <c r="A5043" s="3">
        <v>5038</v>
      </c>
      <c r="B5043" s="3" t="str">
        <f>"201511037988"</f>
        <v>201511037988</v>
      </c>
    </row>
    <row r="5044" spans="1:2" x14ac:dyDescent="0.25">
      <c r="A5044" s="3">
        <v>5039</v>
      </c>
      <c r="B5044" s="3" t="str">
        <f>"201511038039"</f>
        <v>201511038039</v>
      </c>
    </row>
    <row r="5045" spans="1:2" x14ac:dyDescent="0.25">
      <c r="A5045" s="3">
        <v>5040</v>
      </c>
      <c r="B5045" s="3" t="str">
        <f>"201511038058"</f>
        <v>201511038058</v>
      </c>
    </row>
    <row r="5046" spans="1:2" x14ac:dyDescent="0.25">
      <c r="A5046" s="3">
        <v>5041</v>
      </c>
      <c r="B5046" s="3" t="str">
        <f>"201511038067"</f>
        <v>201511038067</v>
      </c>
    </row>
    <row r="5047" spans="1:2" x14ac:dyDescent="0.25">
      <c r="A5047" s="3">
        <v>5042</v>
      </c>
      <c r="B5047" s="3" t="str">
        <f>"201511038122"</f>
        <v>201511038122</v>
      </c>
    </row>
    <row r="5048" spans="1:2" x14ac:dyDescent="0.25">
      <c r="A5048" s="3">
        <v>5043</v>
      </c>
      <c r="B5048" s="3" t="str">
        <f>"201511038152"</f>
        <v>201511038152</v>
      </c>
    </row>
    <row r="5049" spans="1:2" x14ac:dyDescent="0.25">
      <c r="A5049" s="3">
        <v>5044</v>
      </c>
      <c r="B5049" s="3" t="str">
        <f>"201511038159"</f>
        <v>201511038159</v>
      </c>
    </row>
    <row r="5050" spans="1:2" x14ac:dyDescent="0.25">
      <c r="A5050" s="3">
        <v>5045</v>
      </c>
      <c r="B5050" s="3" t="str">
        <f>"201511038200"</f>
        <v>201511038200</v>
      </c>
    </row>
    <row r="5051" spans="1:2" x14ac:dyDescent="0.25">
      <c r="A5051" s="3">
        <v>5046</v>
      </c>
      <c r="B5051" s="3" t="str">
        <f>"201511038206"</f>
        <v>201511038206</v>
      </c>
    </row>
    <row r="5052" spans="1:2" x14ac:dyDescent="0.25">
      <c r="A5052" s="3">
        <v>5047</v>
      </c>
      <c r="B5052" s="3" t="str">
        <f>"201511038226"</f>
        <v>201511038226</v>
      </c>
    </row>
    <row r="5053" spans="1:2" x14ac:dyDescent="0.25">
      <c r="A5053" s="3">
        <v>5048</v>
      </c>
      <c r="B5053" s="3" t="str">
        <f>"201511038248"</f>
        <v>201511038248</v>
      </c>
    </row>
    <row r="5054" spans="1:2" x14ac:dyDescent="0.25">
      <c r="A5054" s="3">
        <v>5049</v>
      </c>
      <c r="B5054" s="3" t="str">
        <f>"201511038253"</f>
        <v>201511038253</v>
      </c>
    </row>
    <row r="5055" spans="1:2" x14ac:dyDescent="0.25">
      <c r="A5055" s="3">
        <v>5050</v>
      </c>
      <c r="B5055" s="3" t="str">
        <f>"201511038257"</f>
        <v>201511038257</v>
      </c>
    </row>
    <row r="5056" spans="1:2" x14ac:dyDescent="0.25">
      <c r="A5056" s="3">
        <v>5051</v>
      </c>
      <c r="B5056" s="3" t="str">
        <f>"201511038303"</f>
        <v>201511038303</v>
      </c>
    </row>
    <row r="5057" spans="1:2" x14ac:dyDescent="0.25">
      <c r="A5057" s="3">
        <v>5052</v>
      </c>
      <c r="B5057" s="3" t="str">
        <f>"201511038320"</f>
        <v>201511038320</v>
      </c>
    </row>
    <row r="5058" spans="1:2" x14ac:dyDescent="0.25">
      <c r="A5058" s="3">
        <v>5053</v>
      </c>
      <c r="B5058" s="3" t="str">
        <f>"201511038331"</f>
        <v>201511038331</v>
      </c>
    </row>
    <row r="5059" spans="1:2" x14ac:dyDescent="0.25">
      <c r="A5059" s="3">
        <v>5054</v>
      </c>
      <c r="B5059" s="3" t="str">
        <f>"201511038334"</f>
        <v>201511038334</v>
      </c>
    </row>
    <row r="5060" spans="1:2" x14ac:dyDescent="0.25">
      <c r="A5060" s="3">
        <v>5055</v>
      </c>
      <c r="B5060" s="3" t="str">
        <f>"201511038374"</f>
        <v>201511038374</v>
      </c>
    </row>
    <row r="5061" spans="1:2" x14ac:dyDescent="0.25">
      <c r="A5061" s="3">
        <v>5056</v>
      </c>
      <c r="B5061" s="3" t="str">
        <f>"201511038382"</f>
        <v>201511038382</v>
      </c>
    </row>
    <row r="5062" spans="1:2" x14ac:dyDescent="0.25">
      <c r="A5062" s="3">
        <v>5057</v>
      </c>
      <c r="B5062" s="3" t="str">
        <f>"201511038462"</f>
        <v>201511038462</v>
      </c>
    </row>
    <row r="5063" spans="1:2" x14ac:dyDescent="0.25">
      <c r="A5063" s="3">
        <v>5058</v>
      </c>
      <c r="B5063" s="3" t="str">
        <f>"201511038483"</f>
        <v>201511038483</v>
      </c>
    </row>
    <row r="5064" spans="1:2" x14ac:dyDescent="0.25">
      <c r="A5064" s="3">
        <v>5059</v>
      </c>
      <c r="B5064" s="3" t="str">
        <f>"201511038510"</f>
        <v>201511038510</v>
      </c>
    </row>
    <row r="5065" spans="1:2" x14ac:dyDescent="0.25">
      <c r="A5065" s="3">
        <v>5060</v>
      </c>
      <c r="B5065" s="3" t="str">
        <f>"201511038526"</f>
        <v>201511038526</v>
      </c>
    </row>
    <row r="5066" spans="1:2" x14ac:dyDescent="0.25">
      <c r="A5066" s="3">
        <v>5061</v>
      </c>
      <c r="B5066" s="3" t="str">
        <f>"201511038531"</f>
        <v>201511038531</v>
      </c>
    </row>
    <row r="5067" spans="1:2" x14ac:dyDescent="0.25">
      <c r="A5067" s="3">
        <v>5062</v>
      </c>
      <c r="B5067" s="3" t="str">
        <f>"201511038535"</f>
        <v>201511038535</v>
      </c>
    </row>
    <row r="5068" spans="1:2" x14ac:dyDescent="0.25">
      <c r="A5068" s="3">
        <v>5063</v>
      </c>
      <c r="B5068" s="3" t="str">
        <f>"201511038583"</f>
        <v>201511038583</v>
      </c>
    </row>
    <row r="5069" spans="1:2" x14ac:dyDescent="0.25">
      <c r="A5069" s="3">
        <v>5064</v>
      </c>
      <c r="B5069" s="3" t="str">
        <f>"201511038587"</f>
        <v>201511038587</v>
      </c>
    </row>
    <row r="5070" spans="1:2" x14ac:dyDescent="0.25">
      <c r="A5070" s="3">
        <v>5065</v>
      </c>
      <c r="B5070" s="3" t="str">
        <f>"201511038620"</f>
        <v>201511038620</v>
      </c>
    </row>
    <row r="5071" spans="1:2" x14ac:dyDescent="0.25">
      <c r="A5071" s="3">
        <v>5066</v>
      </c>
      <c r="B5071" s="3" t="str">
        <f>"201511038652"</f>
        <v>201511038652</v>
      </c>
    </row>
    <row r="5072" spans="1:2" x14ac:dyDescent="0.25">
      <c r="A5072" s="3">
        <v>5067</v>
      </c>
      <c r="B5072" s="3" t="str">
        <f>"201511038654"</f>
        <v>201511038654</v>
      </c>
    </row>
    <row r="5073" spans="1:2" x14ac:dyDescent="0.25">
      <c r="A5073" s="3">
        <v>5068</v>
      </c>
      <c r="B5073" s="3" t="str">
        <f>"201511038686"</f>
        <v>201511038686</v>
      </c>
    </row>
    <row r="5074" spans="1:2" x14ac:dyDescent="0.25">
      <c r="A5074" s="3">
        <v>5069</v>
      </c>
      <c r="B5074" s="3" t="str">
        <f>"201511038692"</f>
        <v>201511038692</v>
      </c>
    </row>
    <row r="5075" spans="1:2" x14ac:dyDescent="0.25">
      <c r="A5075" s="3">
        <v>5070</v>
      </c>
      <c r="B5075" s="3" t="str">
        <f>"201511038708"</f>
        <v>201511038708</v>
      </c>
    </row>
    <row r="5076" spans="1:2" x14ac:dyDescent="0.25">
      <c r="A5076" s="3">
        <v>5071</v>
      </c>
      <c r="B5076" s="3" t="str">
        <f>"201511038714"</f>
        <v>201511038714</v>
      </c>
    </row>
    <row r="5077" spans="1:2" x14ac:dyDescent="0.25">
      <c r="A5077" s="3">
        <v>5072</v>
      </c>
      <c r="B5077" s="3" t="str">
        <f>"201511038722"</f>
        <v>201511038722</v>
      </c>
    </row>
    <row r="5078" spans="1:2" x14ac:dyDescent="0.25">
      <c r="A5078" s="3">
        <v>5073</v>
      </c>
      <c r="B5078" s="3" t="str">
        <f>"201511038724"</f>
        <v>201511038724</v>
      </c>
    </row>
    <row r="5079" spans="1:2" x14ac:dyDescent="0.25">
      <c r="A5079" s="3">
        <v>5074</v>
      </c>
      <c r="B5079" s="3" t="str">
        <f>"201511038728"</f>
        <v>201511038728</v>
      </c>
    </row>
    <row r="5080" spans="1:2" x14ac:dyDescent="0.25">
      <c r="A5080" s="3">
        <v>5075</v>
      </c>
      <c r="B5080" s="3" t="str">
        <f>"201511038792"</f>
        <v>201511038792</v>
      </c>
    </row>
    <row r="5081" spans="1:2" x14ac:dyDescent="0.25">
      <c r="A5081" s="3">
        <v>5076</v>
      </c>
      <c r="B5081" s="3" t="str">
        <f>"201511038906"</f>
        <v>201511038906</v>
      </c>
    </row>
    <row r="5082" spans="1:2" x14ac:dyDescent="0.25">
      <c r="A5082" s="3">
        <v>5077</v>
      </c>
      <c r="B5082" s="3" t="str">
        <f>"201511038915"</f>
        <v>201511038915</v>
      </c>
    </row>
    <row r="5083" spans="1:2" x14ac:dyDescent="0.25">
      <c r="A5083" s="3">
        <v>5078</v>
      </c>
      <c r="B5083" s="3" t="str">
        <f>"201511038942"</f>
        <v>201511038942</v>
      </c>
    </row>
    <row r="5084" spans="1:2" x14ac:dyDescent="0.25">
      <c r="A5084" s="3">
        <v>5079</v>
      </c>
      <c r="B5084" s="3" t="str">
        <f>"201511038979"</f>
        <v>201511038979</v>
      </c>
    </row>
    <row r="5085" spans="1:2" x14ac:dyDescent="0.25">
      <c r="A5085" s="3">
        <v>5080</v>
      </c>
      <c r="B5085" s="3" t="str">
        <f>"201511038992"</f>
        <v>201511038992</v>
      </c>
    </row>
    <row r="5086" spans="1:2" x14ac:dyDescent="0.25">
      <c r="A5086" s="3">
        <v>5081</v>
      </c>
      <c r="B5086" s="3" t="str">
        <f>"201511039005"</f>
        <v>201511039005</v>
      </c>
    </row>
    <row r="5087" spans="1:2" x14ac:dyDescent="0.25">
      <c r="A5087" s="3">
        <v>5082</v>
      </c>
      <c r="B5087" s="3" t="str">
        <f>"201511039008"</f>
        <v>201511039008</v>
      </c>
    </row>
    <row r="5088" spans="1:2" x14ac:dyDescent="0.25">
      <c r="A5088" s="3">
        <v>5083</v>
      </c>
      <c r="B5088" s="3" t="str">
        <f>"201511039027"</f>
        <v>201511039027</v>
      </c>
    </row>
    <row r="5089" spans="1:2" x14ac:dyDescent="0.25">
      <c r="A5089" s="3">
        <v>5084</v>
      </c>
      <c r="B5089" s="3" t="str">
        <f>"201511039122"</f>
        <v>201511039122</v>
      </c>
    </row>
    <row r="5090" spans="1:2" x14ac:dyDescent="0.25">
      <c r="A5090" s="3">
        <v>5085</v>
      </c>
      <c r="B5090" s="3" t="str">
        <f>"201511039128"</f>
        <v>201511039128</v>
      </c>
    </row>
    <row r="5091" spans="1:2" x14ac:dyDescent="0.25">
      <c r="A5091" s="3">
        <v>5086</v>
      </c>
      <c r="B5091" s="3" t="str">
        <f>"201511039199"</f>
        <v>201511039199</v>
      </c>
    </row>
    <row r="5092" spans="1:2" x14ac:dyDescent="0.25">
      <c r="A5092" s="3">
        <v>5087</v>
      </c>
      <c r="B5092" s="3" t="str">
        <f>"201511039207"</f>
        <v>201511039207</v>
      </c>
    </row>
    <row r="5093" spans="1:2" x14ac:dyDescent="0.25">
      <c r="A5093" s="3">
        <v>5088</v>
      </c>
      <c r="B5093" s="3" t="str">
        <f>"201511039237"</f>
        <v>201511039237</v>
      </c>
    </row>
    <row r="5094" spans="1:2" x14ac:dyDescent="0.25">
      <c r="A5094" s="3">
        <v>5089</v>
      </c>
      <c r="B5094" s="3" t="str">
        <f>"201511039245"</f>
        <v>201511039245</v>
      </c>
    </row>
    <row r="5095" spans="1:2" x14ac:dyDescent="0.25">
      <c r="A5095" s="3">
        <v>5090</v>
      </c>
      <c r="B5095" s="3" t="str">
        <f>"201511039267"</f>
        <v>201511039267</v>
      </c>
    </row>
    <row r="5096" spans="1:2" x14ac:dyDescent="0.25">
      <c r="A5096" s="3">
        <v>5091</v>
      </c>
      <c r="B5096" s="3" t="str">
        <f>"201511039280"</f>
        <v>201511039280</v>
      </c>
    </row>
    <row r="5097" spans="1:2" x14ac:dyDescent="0.25">
      <c r="A5097" s="3">
        <v>5092</v>
      </c>
      <c r="B5097" s="3" t="str">
        <f>"201511039314"</f>
        <v>201511039314</v>
      </c>
    </row>
    <row r="5098" spans="1:2" x14ac:dyDescent="0.25">
      <c r="A5098" s="3">
        <v>5093</v>
      </c>
      <c r="B5098" s="3" t="str">
        <f>"201511039321"</f>
        <v>201511039321</v>
      </c>
    </row>
    <row r="5099" spans="1:2" x14ac:dyDescent="0.25">
      <c r="A5099" s="3">
        <v>5094</v>
      </c>
      <c r="B5099" s="3" t="str">
        <f>"201511039340"</f>
        <v>201511039340</v>
      </c>
    </row>
    <row r="5100" spans="1:2" x14ac:dyDescent="0.25">
      <c r="A5100" s="3">
        <v>5095</v>
      </c>
      <c r="B5100" s="3" t="str">
        <f>"201511039417"</f>
        <v>201511039417</v>
      </c>
    </row>
    <row r="5101" spans="1:2" x14ac:dyDescent="0.25">
      <c r="A5101" s="3">
        <v>5096</v>
      </c>
      <c r="B5101" s="3" t="str">
        <f>"201511039472"</f>
        <v>201511039472</v>
      </c>
    </row>
    <row r="5102" spans="1:2" x14ac:dyDescent="0.25">
      <c r="A5102" s="3">
        <v>5097</v>
      </c>
      <c r="B5102" s="3" t="str">
        <f>"201511039560"</f>
        <v>201511039560</v>
      </c>
    </row>
    <row r="5103" spans="1:2" x14ac:dyDescent="0.25">
      <c r="A5103" s="3">
        <v>5098</v>
      </c>
      <c r="B5103" s="3" t="str">
        <f>"201511039613"</f>
        <v>201511039613</v>
      </c>
    </row>
    <row r="5104" spans="1:2" x14ac:dyDescent="0.25">
      <c r="A5104" s="3">
        <v>5099</v>
      </c>
      <c r="B5104" s="3" t="str">
        <f>"201511039621"</f>
        <v>201511039621</v>
      </c>
    </row>
    <row r="5105" spans="1:2" x14ac:dyDescent="0.25">
      <c r="A5105" s="3">
        <v>5100</v>
      </c>
      <c r="B5105" s="3" t="str">
        <f>"201511039643"</f>
        <v>201511039643</v>
      </c>
    </row>
    <row r="5106" spans="1:2" x14ac:dyDescent="0.25">
      <c r="A5106" s="3">
        <v>5101</v>
      </c>
      <c r="B5106" s="3" t="str">
        <f>"201511039658"</f>
        <v>201511039658</v>
      </c>
    </row>
    <row r="5107" spans="1:2" x14ac:dyDescent="0.25">
      <c r="A5107" s="3">
        <v>5102</v>
      </c>
      <c r="B5107" s="3" t="str">
        <f>"201511039751"</f>
        <v>201511039751</v>
      </c>
    </row>
    <row r="5108" spans="1:2" x14ac:dyDescent="0.25">
      <c r="A5108" s="3">
        <v>5103</v>
      </c>
      <c r="B5108" s="3" t="str">
        <f>"201511039874"</f>
        <v>201511039874</v>
      </c>
    </row>
    <row r="5109" spans="1:2" x14ac:dyDescent="0.25">
      <c r="A5109" s="3">
        <v>5104</v>
      </c>
      <c r="B5109" s="3" t="str">
        <f>"201511039879"</f>
        <v>201511039879</v>
      </c>
    </row>
    <row r="5110" spans="1:2" x14ac:dyDescent="0.25">
      <c r="A5110" s="3">
        <v>5105</v>
      </c>
      <c r="B5110" s="3" t="str">
        <f>"201511039894"</f>
        <v>201511039894</v>
      </c>
    </row>
    <row r="5111" spans="1:2" x14ac:dyDescent="0.25">
      <c r="A5111" s="3">
        <v>5106</v>
      </c>
      <c r="B5111" s="3" t="str">
        <f>"201511039930"</f>
        <v>201511039930</v>
      </c>
    </row>
    <row r="5112" spans="1:2" x14ac:dyDescent="0.25">
      <c r="A5112" s="3">
        <v>5107</v>
      </c>
      <c r="B5112" s="3" t="str">
        <f>"201511039939"</f>
        <v>201511039939</v>
      </c>
    </row>
    <row r="5113" spans="1:2" x14ac:dyDescent="0.25">
      <c r="A5113" s="3">
        <v>5108</v>
      </c>
      <c r="B5113" s="3" t="str">
        <f>"201511039940"</f>
        <v>201511039940</v>
      </c>
    </row>
    <row r="5114" spans="1:2" x14ac:dyDescent="0.25">
      <c r="A5114" s="3">
        <v>5109</v>
      </c>
      <c r="B5114" s="3" t="str">
        <f>"201511039971"</f>
        <v>201511039971</v>
      </c>
    </row>
    <row r="5115" spans="1:2" x14ac:dyDescent="0.25">
      <c r="A5115" s="3">
        <v>5110</v>
      </c>
      <c r="B5115" s="3" t="str">
        <f>"201511039982"</f>
        <v>201511039982</v>
      </c>
    </row>
    <row r="5116" spans="1:2" x14ac:dyDescent="0.25">
      <c r="A5116" s="3">
        <v>5111</v>
      </c>
      <c r="B5116" s="3" t="str">
        <f>"201511040004"</f>
        <v>201511040004</v>
      </c>
    </row>
    <row r="5117" spans="1:2" x14ac:dyDescent="0.25">
      <c r="A5117" s="3">
        <v>5112</v>
      </c>
      <c r="B5117" s="3" t="str">
        <f>"201511040007"</f>
        <v>201511040007</v>
      </c>
    </row>
    <row r="5118" spans="1:2" x14ac:dyDescent="0.25">
      <c r="A5118" s="3">
        <v>5113</v>
      </c>
      <c r="B5118" s="3" t="str">
        <f>"201511040040"</f>
        <v>201511040040</v>
      </c>
    </row>
    <row r="5119" spans="1:2" x14ac:dyDescent="0.25">
      <c r="A5119" s="3">
        <v>5114</v>
      </c>
      <c r="B5119" s="3" t="str">
        <f>"201511040053"</f>
        <v>201511040053</v>
      </c>
    </row>
    <row r="5120" spans="1:2" x14ac:dyDescent="0.25">
      <c r="A5120" s="3">
        <v>5115</v>
      </c>
      <c r="B5120" s="3" t="str">
        <f>"201511040098"</f>
        <v>201511040098</v>
      </c>
    </row>
    <row r="5121" spans="1:2" x14ac:dyDescent="0.25">
      <c r="A5121" s="3">
        <v>5116</v>
      </c>
      <c r="B5121" s="3" t="str">
        <f>"201511040137"</f>
        <v>201511040137</v>
      </c>
    </row>
    <row r="5122" spans="1:2" x14ac:dyDescent="0.25">
      <c r="A5122" s="3">
        <v>5117</v>
      </c>
      <c r="B5122" s="3" t="str">
        <f>"201511040140"</f>
        <v>201511040140</v>
      </c>
    </row>
    <row r="5123" spans="1:2" x14ac:dyDescent="0.25">
      <c r="A5123" s="3">
        <v>5118</v>
      </c>
      <c r="B5123" s="3" t="str">
        <f>"201511040148"</f>
        <v>201511040148</v>
      </c>
    </row>
    <row r="5124" spans="1:2" x14ac:dyDescent="0.25">
      <c r="A5124" s="3">
        <v>5119</v>
      </c>
      <c r="B5124" s="3" t="str">
        <f>"201511040162"</f>
        <v>201511040162</v>
      </c>
    </row>
    <row r="5125" spans="1:2" x14ac:dyDescent="0.25">
      <c r="A5125" s="3">
        <v>5120</v>
      </c>
      <c r="B5125" s="3" t="str">
        <f>"201511040163"</f>
        <v>201511040163</v>
      </c>
    </row>
    <row r="5126" spans="1:2" x14ac:dyDescent="0.25">
      <c r="A5126" s="3">
        <v>5121</v>
      </c>
      <c r="B5126" s="3" t="str">
        <f>"201511040230"</f>
        <v>201511040230</v>
      </c>
    </row>
    <row r="5127" spans="1:2" x14ac:dyDescent="0.25">
      <c r="A5127" s="3">
        <v>5122</v>
      </c>
      <c r="B5127" s="3" t="str">
        <f>"201511040246"</f>
        <v>201511040246</v>
      </c>
    </row>
    <row r="5128" spans="1:2" x14ac:dyDescent="0.25">
      <c r="A5128" s="3">
        <v>5123</v>
      </c>
      <c r="B5128" s="3" t="str">
        <f>"201511040330"</f>
        <v>201511040330</v>
      </c>
    </row>
    <row r="5129" spans="1:2" x14ac:dyDescent="0.25">
      <c r="A5129" s="3">
        <v>5124</v>
      </c>
      <c r="B5129" s="3" t="str">
        <f>"201511040353"</f>
        <v>201511040353</v>
      </c>
    </row>
    <row r="5130" spans="1:2" x14ac:dyDescent="0.25">
      <c r="A5130" s="3">
        <v>5125</v>
      </c>
      <c r="B5130" s="3" t="str">
        <f>"201511040374"</f>
        <v>201511040374</v>
      </c>
    </row>
    <row r="5131" spans="1:2" x14ac:dyDescent="0.25">
      <c r="A5131" s="3">
        <v>5126</v>
      </c>
      <c r="B5131" s="3" t="str">
        <f>"201511040437"</f>
        <v>201511040437</v>
      </c>
    </row>
    <row r="5132" spans="1:2" x14ac:dyDescent="0.25">
      <c r="A5132" s="3">
        <v>5127</v>
      </c>
      <c r="B5132" s="3" t="str">
        <f>"201511040465"</f>
        <v>201511040465</v>
      </c>
    </row>
    <row r="5133" spans="1:2" x14ac:dyDescent="0.25">
      <c r="A5133" s="3">
        <v>5128</v>
      </c>
      <c r="B5133" s="3" t="str">
        <f>"201511040510"</f>
        <v>201511040510</v>
      </c>
    </row>
    <row r="5134" spans="1:2" x14ac:dyDescent="0.25">
      <c r="A5134" s="3">
        <v>5129</v>
      </c>
      <c r="B5134" s="3" t="str">
        <f>"201511040530"</f>
        <v>201511040530</v>
      </c>
    </row>
    <row r="5135" spans="1:2" x14ac:dyDescent="0.25">
      <c r="A5135" s="3">
        <v>5130</v>
      </c>
      <c r="B5135" s="3" t="str">
        <f>"201511040532"</f>
        <v>201511040532</v>
      </c>
    </row>
    <row r="5136" spans="1:2" x14ac:dyDescent="0.25">
      <c r="A5136" s="3">
        <v>5131</v>
      </c>
      <c r="B5136" s="3" t="str">
        <f>"201511040562"</f>
        <v>201511040562</v>
      </c>
    </row>
    <row r="5137" spans="1:2" x14ac:dyDescent="0.25">
      <c r="A5137" s="3">
        <v>5132</v>
      </c>
      <c r="B5137" s="3" t="str">
        <f>"201511040622"</f>
        <v>201511040622</v>
      </c>
    </row>
    <row r="5138" spans="1:2" x14ac:dyDescent="0.25">
      <c r="A5138" s="3">
        <v>5133</v>
      </c>
      <c r="B5138" s="3" t="str">
        <f>"201511040857"</f>
        <v>201511040857</v>
      </c>
    </row>
    <row r="5139" spans="1:2" x14ac:dyDescent="0.25">
      <c r="A5139" s="3">
        <v>5134</v>
      </c>
      <c r="B5139" s="3" t="str">
        <f>"201511040931"</f>
        <v>201511040931</v>
      </c>
    </row>
    <row r="5140" spans="1:2" x14ac:dyDescent="0.25">
      <c r="A5140" s="3">
        <v>5135</v>
      </c>
      <c r="B5140" s="3" t="str">
        <f>"201511040940"</f>
        <v>201511040940</v>
      </c>
    </row>
    <row r="5141" spans="1:2" x14ac:dyDescent="0.25">
      <c r="A5141" s="3">
        <v>5136</v>
      </c>
      <c r="B5141" s="3" t="str">
        <f>"201511040974"</f>
        <v>201511040974</v>
      </c>
    </row>
    <row r="5142" spans="1:2" x14ac:dyDescent="0.25">
      <c r="A5142" s="3">
        <v>5137</v>
      </c>
      <c r="B5142" s="3" t="str">
        <f>"201511040985"</f>
        <v>201511040985</v>
      </c>
    </row>
    <row r="5143" spans="1:2" x14ac:dyDescent="0.25">
      <c r="A5143" s="3">
        <v>5138</v>
      </c>
      <c r="B5143" s="3" t="str">
        <f>"201511041057"</f>
        <v>201511041057</v>
      </c>
    </row>
    <row r="5144" spans="1:2" x14ac:dyDescent="0.25">
      <c r="A5144" s="3">
        <v>5139</v>
      </c>
      <c r="B5144" s="3" t="str">
        <f>"201511041092"</f>
        <v>201511041092</v>
      </c>
    </row>
    <row r="5145" spans="1:2" x14ac:dyDescent="0.25">
      <c r="A5145" s="3">
        <v>5140</v>
      </c>
      <c r="B5145" s="3" t="str">
        <f>"201511041112"</f>
        <v>201511041112</v>
      </c>
    </row>
    <row r="5146" spans="1:2" x14ac:dyDescent="0.25">
      <c r="A5146" s="3">
        <v>5141</v>
      </c>
      <c r="B5146" s="3" t="str">
        <f>"201511041116"</f>
        <v>201511041116</v>
      </c>
    </row>
    <row r="5147" spans="1:2" x14ac:dyDescent="0.25">
      <c r="A5147" s="3">
        <v>5142</v>
      </c>
      <c r="B5147" s="3" t="str">
        <f>"201511041128"</f>
        <v>201511041128</v>
      </c>
    </row>
    <row r="5148" spans="1:2" x14ac:dyDescent="0.25">
      <c r="A5148" s="3">
        <v>5143</v>
      </c>
      <c r="B5148" s="3" t="str">
        <f>"201511041135"</f>
        <v>201511041135</v>
      </c>
    </row>
    <row r="5149" spans="1:2" x14ac:dyDescent="0.25">
      <c r="A5149" s="3">
        <v>5144</v>
      </c>
      <c r="B5149" s="3" t="str">
        <f>"201511041160"</f>
        <v>201511041160</v>
      </c>
    </row>
    <row r="5150" spans="1:2" x14ac:dyDescent="0.25">
      <c r="A5150" s="3">
        <v>5145</v>
      </c>
      <c r="B5150" s="3" t="str">
        <f>"201511041202"</f>
        <v>201511041202</v>
      </c>
    </row>
    <row r="5151" spans="1:2" x14ac:dyDescent="0.25">
      <c r="A5151" s="3">
        <v>5146</v>
      </c>
      <c r="B5151" s="3" t="str">
        <f>"201511041271"</f>
        <v>201511041271</v>
      </c>
    </row>
    <row r="5152" spans="1:2" x14ac:dyDescent="0.25">
      <c r="A5152" s="3">
        <v>5147</v>
      </c>
      <c r="B5152" s="3" t="str">
        <f>"201511041286"</f>
        <v>201511041286</v>
      </c>
    </row>
    <row r="5153" spans="1:2" x14ac:dyDescent="0.25">
      <c r="A5153" s="3">
        <v>5148</v>
      </c>
      <c r="B5153" s="3" t="str">
        <f>"201511041331"</f>
        <v>201511041331</v>
      </c>
    </row>
    <row r="5154" spans="1:2" x14ac:dyDescent="0.25">
      <c r="A5154" s="3">
        <v>5149</v>
      </c>
      <c r="B5154" s="3" t="str">
        <f>"201511041415"</f>
        <v>201511041415</v>
      </c>
    </row>
    <row r="5155" spans="1:2" x14ac:dyDescent="0.25">
      <c r="A5155" s="3">
        <v>5150</v>
      </c>
      <c r="B5155" s="3" t="str">
        <f>"201511041431"</f>
        <v>201511041431</v>
      </c>
    </row>
    <row r="5156" spans="1:2" x14ac:dyDescent="0.25">
      <c r="A5156" s="3">
        <v>5151</v>
      </c>
      <c r="B5156" s="3" t="str">
        <f>"201511041459"</f>
        <v>201511041459</v>
      </c>
    </row>
    <row r="5157" spans="1:2" x14ac:dyDescent="0.25">
      <c r="A5157" s="3">
        <v>5152</v>
      </c>
      <c r="B5157" s="3" t="str">
        <f>"201511041502"</f>
        <v>201511041502</v>
      </c>
    </row>
    <row r="5158" spans="1:2" x14ac:dyDescent="0.25">
      <c r="A5158" s="3">
        <v>5153</v>
      </c>
      <c r="B5158" s="3" t="str">
        <f>"201511041509"</f>
        <v>201511041509</v>
      </c>
    </row>
    <row r="5159" spans="1:2" x14ac:dyDescent="0.25">
      <c r="A5159" s="3">
        <v>5154</v>
      </c>
      <c r="B5159" s="3" t="str">
        <f>"201511041534"</f>
        <v>201511041534</v>
      </c>
    </row>
    <row r="5160" spans="1:2" x14ac:dyDescent="0.25">
      <c r="A5160" s="3">
        <v>5155</v>
      </c>
      <c r="B5160" s="3" t="str">
        <f>"201511041536"</f>
        <v>201511041536</v>
      </c>
    </row>
    <row r="5161" spans="1:2" x14ac:dyDescent="0.25">
      <c r="A5161" s="3">
        <v>5156</v>
      </c>
      <c r="B5161" s="3" t="str">
        <f>"201511041585"</f>
        <v>201511041585</v>
      </c>
    </row>
    <row r="5162" spans="1:2" x14ac:dyDescent="0.25">
      <c r="A5162" s="3">
        <v>5157</v>
      </c>
      <c r="B5162" s="3" t="str">
        <f>"201511041587"</f>
        <v>201511041587</v>
      </c>
    </row>
    <row r="5163" spans="1:2" x14ac:dyDescent="0.25">
      <c r="A5163" s="3">
        <v>5158</v>
      </c>
      <c r="B5163" s="3" t="str">
        <f>"201511041622"</f>
        <v>201511041622</v>
      </c>
    </row>
    <row r="5164" spans="1:2" x14ac:dyDescent="0.25">
      <c r="A5164" s="3">
        <v>5159</v>
      </c>
      <c r="B5164" s="3" t="str">
        <f>"201511041627"</f>
        <v>201511041627</v>
      </c>
    </row>
    <row r="5165" spans="1:2" x14ac:dyDescent="0.25">
      <c r="A5165" s="3">
        <v>5160</v>
      </c>
      <c r="B5165" s="3" t="str">
        <f>"201511041629"</f>
        <v>201511041629</v>
      </c>
    </row>
    <row r="5166" spans="1:2" x14ac:dyDescent="0.25">
      <c r="A5166" s="3">
        <v>5161</v>
      </c>
      <c r="B5166" s="3" t="str">
        <f>"201511041795"</f>
        <v>201511041795</v>
      </c>
    </row>
    <row r="5167" spans="1:2" x14ac:dyDescent="0.25">
      <c r="A5167" s="3">
        <v>5162</v>
      </c>
      <c r="B5167" s="3" t="str">
        <f>"201511041861"</f>
        <v>201511041861</v>
      </c>
    </row>
    <row r="5168" spans="1:2" x14ac:dyDescent="0.25">
      <c r="A5168" s="3">
        <v>5163</v>
      </c>
      <c r="B5168" s="3" t="str">
        <f>"201511041887"</f>
        <v>201511041887</v>
      </c>
    </row>
    <row r="5169" spans="1:2" x14ac:dyDescent="0.25">
      <c r="A5169" s="3">
        <v>5164</v>
      </c>
      <c r="B5169" s="3" t="str">
        <f>"201511041892"</f>
        <v>201511041892</v>
      </c>
    </row>
    <row r="5170" spans="1:2" x14ac:dyDescent="0.25">
      <c r="A5170" s="3">
        <v>5165</v>
      </c>
      <c r="B5170" s="3" t="str">
        <f>"201511041941"</f>
        <v>201511041941</v>
      </c>
    </row>
    <row r="5171" spans="1:2" x14ac:dyDescent="0.25">
      <c r="A5171" s="3">
        <v>5166</v>
      </c>
      <c r="B5171" s="3" t="str">
        <f>"201511041943"</f>
        <v>201511041943</v>
      </c>
    </row>
    <row r="5172" spans="1:2" x14ac:dyDescent="0.25">
      <c r="A5172" s="3">
        <v>5167</v>
      </c>
      <c r="B5172" s="3" t="str">
        <f>"201511041965"</f>
        <v>201511041965</v>
      </c>
    </row>
    <row r="5173" spans="1:2" x14ac:dyDescent="0.25">
      <c r="A5173" s="3">
        <v>5168</v>
      </c>
      <c r="B5173" s="3" t="str">
        <f>"201511041984"</f>
        <v>201511041984</v>
      </c>
    </row>
    <row r="5174" spans="1:2" x14ac:dyDescent="0.25">
      <c r="A5174" s="3">
        <v>5169</v>
      </c>
      <c r="B5174" s="3" t="str">
        <f>"201511042006"</f>
        <v>201511042006</v>
      </c>
    </row>
    <row r="5175" spans="1:2" x14ac:dyDescent="0.25">
      <c r="A5175" s="3">
        <v>5170</v>
      </c>
      <c r="B5175" s="3" t="str">
        <f>"201511042032"</f>
        <v>201511042032</v>
      </c>
    </row>
    <row r="5176" spans="1:2" x14ac:dyDescent="0.25">
      <c r="A5176" s="3">
        <v>5171</v>
      </c>
      <c r="B5176" s="3" t="str">
        <f>"201511042060"</f>
        <v>201511042060</v>
      </c>
    </row>
    <row r="5177" spans="1:2" x14ac:dyDescent="0.25">
      <c r="A5177" s="3">
        <v>5172</v>
      </c>
      <c r="B5177" s="3" t="str">
        <f>"201511042089"</f>
        <v>201511042089</v>
      </c>
    </row>
    <row r="5178" spans="1:2" x14ac:dyDescent="0.25">
      <c r="A5178" s="3">
        <v>5173</v>
      </c>
      <c r="B5178" s="3" t="str">
        <f>"201511042161"</f>
        <v>201511042161</v>
      </c>
    </row>
    <row r="5179" spans="1:2" x14ac:dyDescent="0.25">
      <c r="A5179" s="3">
        <v>5174</v>
      </c>
      <c r="B5179" s="3" t="str">
        <f>"201511042244"</f>
        <v>201511042244</v>
      </c>
    </row>
    <row r="5180" spans="1:2" x14ac:dyDescent="0.25">
      <c r="A5180" s="3">
        <v>5175</v>
      </c>
      <c r="B5180" s="3" t="str">
        <f>"201511042281"</f>
        <v>201511042281</v>
      </c>
    </row>
    <row r="5181" spans="1:2" x14ac:dyDescent="0.25">
      <c r="A5181" s="3">
        <v>5176</v>
      </c>
      <c r="B5181" s="3" t="str">
        <f>"201511042331"</f>
        <v>201511042331</v>
      </c>
    </row>
    <row r="5182" spans="1:2" x14ac:dyDescent="0.25">
      <c r="A5182" s="3">
        <v>5177</v>
      </c>
      <c r="B5182" s="3" t="str">
        <f>"201511042337"</f>
        <v>201511042337</v>
      </c>
    </row>
    <row r="5183" spans="1:2" x14ac:dyDescent="0.25">
      <c r="A5183" s="3">
        <v>5178</v>
      </c>
      <c r="B5183" s="3" t="str">
        <f>"201511042360"</f>
        <v>201511042360</v>
      </c>
    </row>
    <row r="5184" spans="1:2" x14ac:dyDescent="0.25">
      <c r="A5184" s="3">
        <v>5179</v>
      </c>
      <c r="B5184" s="3" t="str">
        <f>"201511042414"</f>
        <v>201511042414</v>
      </c>
    </row>
    <row r="5185" spans="1:2" x14ac:dyDescent="0.25">
      <c r="A5185" s="3">
        <v>5180</v>
      </c>
      <c r="B5185" s="3" t="str">
        <f>"201511042425"</f>
        <v>201511042425</v>
      </c>
    </row>
    <row r="5186" spans="1:2" x14ac:dyDescent="0.25">
      <c r="A5186" s="3">
        <v>5181</v>
      </c>
      <c r="B5186" s="3" t="str">
        <f>"201511042516"</f>
        <v>201511042516</v>
      </c>
    </row>
    <row r="5187" spans="1:2" x14ac:dyDescent="0.25">
      <c r="A5187" s="3">
        <v>5182</v>
      </c>
      <c r="B5187" s="3" t="str">
        <f>"201511042579"</f>
        <v>201511042579</v>
      </c>
    </row>
    <row r="5188" spans="1:2" x14ac:dyDescent="0.25">
      <c r="A5188" s="3">
        <v>5183</v>
      </c>
      <c r="B5188" s="3" t="str">
        <f>"201511042588"</f>
        <v>201511042588</v>
      </c>
    </row>
    <row r="5189" spans="1:2" x14ac:dyDescent="0.25">
      <c r="A5189" s="3">
        <v>5184</v>
      </c>
      <c r="B5189" s="3" t="str">
        <f>"201511042680"</f>
        <v>201511042680</v>
      </c>
    </row>
    <row r="5190" spans="1:2" x14ac:dyDescent="0.25">
      <c r="A5190" s="3">
        <v>5185</v>
      </c>
      <c r="B5190" s="3" t="str">
        <f>"201511042690"</f>
        <v>201511042690</v>
      </c>
    </row>
    <row r="5191" spans="1:2" x14ac:dyDescent="0.25">
      <c r="A5191" s="3">
        <v>5186</v>
      </c>
      <c r="B5191" s="3" t="str">
        <f>"201511042736"</f>
        <v>201511042736</v>
      </c>
    </row>
    <row r="5192" spans="1:2" x14ac:dyDescent="0.25">
      <c r="A5192" s="3">
        <v>5187</v>
      </c>
      <c r="B5192" s="3" t="str">
        <f>"201511042788"</f>
        <v>201511042788</v>
      </c>
    </row>
    <row r="5193" spans="1:2" x14ac:dyDescent="0.25">
      <c r="A5193" s="3">
        <v>5188</v>
      </c>
      <c r="B5193" s="3" t="str">
        <f>"201511042823"</f>
        <v>201511042823</v>
      </c>
    </row>
    <row r="5194" spans="1:2" x14ac:dyDescent="0.25">
      <c r="A5194" s="3">
        <v>5189</v>
      </c>
      <c r="B5194" s="3" t="str">
        <f>"201511042849"</f>
        <v>201511042849</v>
      </c>
    </row>
    <row r="5195" spans="1:2" x14ac:dyDescent="0.25">
      <c r="A5195" s="3">
        <v>5190</v>
      </c>
      <c r="B5195" s="3" t="str">
        <f>"201511042854"</f>
        <v>201511042854</v>
      </c>
    </row>
    <row r="5196" spans="1:2" x14ac:dyDescent="0.25">
      <c r="A5196" s="3">
        <v>5191</v>
      </c>
      <c r="B5196" s="3" t="str">
        <f>"201511042884"</f>
        <v>201511042884</v>
      </c>
    </row>
    <row r="5197" spans="1:2" x14ac:dyDescent="0.25">
      <c r="A5197" s="3">
        <v>5192</v>
      </c>
      <c r="B5197" s="3" t="str">
        <f>"201511042916"</f>
        <v>201511042916</v>
      </c>
    </row>
    <row r="5198" spans="1:2" x14ac:dyDescent="0.25">
      <c r="A5198" s="3">
        <v>5193</v>
      </c>
      <c r="B5198" s="3" t="str">
        <f>"201511043002"</f>
        <v>201511043002</v>
      </c>
    </row>
    <row r="5199" spans="1:2" x14ac:dyDescent="0.25">
      <c r="A5199" s="3">
        <v>5194</v>
      </c>
      <c r="B5199" s="3" t="str">
        <f>"201511043026"</f>
        <v>201511043026</v>
      </c>
    </row>
    <row r="5200" spans="1:2" x14ac:dyDescent="0.25">
      <c r="A5200" s="3">
        <v>5195</v>
      </c>
      <c r="B5200" s="3" t="str">
        <f>"201511043170"</f>
        <v>201511043170</v>
      </c>
    </row>
    <row r="5201" spans="1:2" x14ac:dyDescent="0.25">
      <c r="A5201" s="3">
        <v>5196</v>
      </c>
      <c r="B5201" s="3" t="str">
        <f>"201511043226"</f>
        <v>201511043226</v>
      </c>
    </row>
    <row r="5202" spans="1:2" x14ac:dyDescent="0.25">
      <c r="A5202" s="3">
        <v>5197</v>
      </c>
      <c r="B5202" s="3" t="str">
        <f>"201511043238"</f>
        <v>201511043238</v>
      </c>
    </row>
    <row r="5203" spans="1:2" x14ac:dyDescent="0.25">
      <c r="A5203" s="3">
        <v>5198</v>
      </c>
      <c r="B5203" s="3" t="str">
        <f>"201511043297"</f>
        <v>201511043297</v>
      </c>
    </row>
    <row r="5204" spans="1:2" x14ac:dyDescent="0.25">
      <c r="A5204" s="3">
        <v>5199</v>
      </c>
      <c r="B5204" s="3" t="str">
        <f>"201511043311"</f>
        <v>201511043311</v>
      </c>
    </row>
    <row r="5205" spans="1:2" x14ac:dyDescent="0.25">
      <c r="A5205" s="3">
        <v>5200</v>
      </c>
      <c r="B5205" s="3" t="str">
        <f>"201511043324"</f>
        <v>201511043324</v>
      </c>
    </row>
    <row r="5206" spans="1:2" x14ac:dyDescent="0.25">
      <c r="A5206" s="3">
        <v>5201</v>
      </c>
      <c r="B5206" s="3" t="str">
        <f>"201511043342"</f>
        <v>201511043342</v>
      </c>
    </row>
    <row r="5207" spans="1:2" x14ac:dyDescent="0.25">
      <c r="A5207" s="3">
        <v>5202</v>
      </c>
      <c r="B5207" s="3" t="str">
        <f>"201511043347"</f>
        <v>201511043347</v>
      </c>
    </row>
    <row r="5208" spans="1:2" x14ac:dyDescent="0.25">
      <c r="A5208" s="3">
        <v>5203</v>
      </c>
      <c r="B5208" s="3" t="str">
        <f>"201511043348"</f>
        <v>201511043348</v>
      </c>
    </row>
    <row r="5209" spans="1:2" x14ac:dyDescent="0.25">
      <c r="A5209" s="3">
        <v>5204</v>
      </c>
      <c r="B5209" s="3" t="str">
        <f>"201511043403"</f>
        <v>201511043403</v>
      </c>
    </row>
    <row r="5210" spans="1:2" x14ac:dyDescent="0.25">
      <c r="A5210" s="3">
        <v>5205</v>
      </c>
      <c r="B5210" s="3" t="str">
        <f>"201511043433"</f>
        <v>201511043433</v>
      </c>
    </row>
    <row r="5211" spans="1:2" x14ac:dyDescent="0.25">
      <c r="A5211" s="3">
        <v>5206</v>
      </c>
      <c r="B5211" s="3" t="str">
        <f>"201511043450"</f>
        <v>201511043450</v>
      </c>
    </row>
    <row r="5212" spans="1:2" x14ac:dyDescent="0.25">
      <c r="A5212" s="3">
        <v>5207</v>
      </c>
      <c r="B5212" s="3" t="str">
        <f>"201511043602"</f>
        <v>201511043602</v>
      </c>
    </row>
    <row r="5213" spans="1:2" x14ac:dyDescent="0.25">
      <c r="A5213" s="3">
        <v>5208</v>
      </c>
      <c r="B5213" s="3" t="str">
        <f>"201511043637"</f>
        <v>201511043637</v>
      </c>
    </row>
    <row r="5214" spans="1:2" x14ac:dyDescent="0.25">
      <c r="A5214" s="3">
        <v>5209</v>
      </c>
      <c r="B5214" s="3" t="str">
        <f>"201512000058"</f>
        <v>201512000058</v>
      </c>
    </row>
    <row r="5215" spans="1:2" x14ac:dyDescent="0.25">
      <c r="A5215" s="3">
        <v>5210</v>
      </c>
      <c r="B5215" s="3" t="str">
        <f>"201512000155"</f>
        <v>201512000155</v>
      </c>
    </row>
    <row r="5216" spans="1:2" x14ac:dyDescent="0.25">
      <c r="A5216" s="3">
        <v>5211</v>
      </c>
      <c r="B5216" s="3" t="str">
        <f>"201512000191"</f>
        <v>201512000191</v>
      </c>
    </row>
    <row r="5217" spans="1:2" x14ac:dyDescent="0.25">
      <c r="A5217" s="3">
        <v>5212</v>
      </c>
      <c r="B5217" s="3" t="str">
        <f>"201512000305"</f>
        <v>201512000305</v>
      </c>
    </row>
    <row r="5218" spans="1:2" x14ac:dyDescent="0.25">
      <c r="A5218" s="3">
        <v>5213</v>
      </c>
      <c r="B5218" s="3" t="str">
        <f>"201512000315"</f>
        <v>201512000315</v>
      </c>
    </row>
    <row r="5219" spans="1:2" x14ac:dyDescent="0.25">
      <c r="A5219" s="3">
        <v>5214</v>
      </c>
      <c r="B5219" s="3" t="str">
        <f>"201512000377"</f>
        <v>201512000377</v>
      </c>
    </row>
    <row r="5220" spans="1:2" x14ac:dyDescent="0.25">
      <c r="A5220" s="3">
        <v>5215</v>
      </c>
      <c r="B5220" s="3" t="str">
        <f>"201512000427"</f>
        <v>201512000427</v>
      </c>
    </row>
    <row r="5221" spans="1:2" x14ac:dyDescent="0.25">
      <c r="A5221" s="3">
        <v>5216</v>
      </c>
      <c r="B5221" s="3" t="str">
        <f>"201512000451"</f>
        <v>201512000451</v>
      </c>
    </row>
    <row r="5222" spans="1:2" x14ac:dyDescent="0.25">
      <c r="A5222" s="3">
        <v>5217</v>
      </c>
      <c r="B5222" s="3" t="str">
        <f>"201512000470"</f>
        <v>201512000470</v>
      </c>
    </row>
    <row r="5223" spans="1:2" x14ac:dyDescent="0.25">
      <c r="A5223" s="3">
        <v>5218</v>
      </c>
      <c r="B5223" s="3" t="str">
        <f>"201512000542"</f>
        <v>201512000542</v>
      </c>
    </row>
    <row r="5224" spans="1:2" x14ac:dyDescent="0.25">
      <c r="A5224" s="3">
        <v>5219</v>
      </c>
      <c r="B5224" s="3" t="str">
        <f>"201512000543"</f>
        <v>201512000543</v>
      </c>
    </row>
    <row r="5225" spans="1:2" x14ac:dyDescent="0.25">
      <c r="A5225" s="3">
        <v>5220</v>
      </c>
      <c r="B5225" s="3" t="str">
        <f>"201512000544"</f>
        <v>201512000544</v>
      </c>
    </row>
    <row r="5226" spans="1:2" x14ac:dyDescent="0.25">
      <c r="A5226" s="3">
        <v>5221</v>
      </c>
      <c r="B5226" s="3" t="str">
        <f>"201512000559"</f>
        <v>201512000559</v>
      </c>
    </row>
    <row r="5227" spans="1:2" x14ac:dyDescent="0.25">
      <c r="A5227" s="3">
        <v>5222</v>
      </c>
      <c r="B5227" s="3" t="str">
        <f>"201512000562"</f>
        <v>201512000562</v>
      </c>
    </row>
    <row r="5228" spans="1:2" x14ac:dyDescent="0.25">
      <c r="A5228" s="3">
        <v>5223</v>
      </c>
      <c r="B5228" s="3" t="str">
        <f>"201512000608"</f>
        <v>201512000608</v>
      </c>
    </row>
    <row r="5229" spans="1:2" x14ac:dyDescent="0.25">
      <c r="A5229" s="3">
        <v>5224</v>
      </c>
      <c r="B5229" s="3" t="str">
        <f>"201512000612"</f>
        <v>201512000612</v>
      </c>
    </row>
    <row r="5230" spans="1:2" x14ac:dyDescent="0.25">
      <c r="A5230" s="3">
        <v>5225</v>
      </c>
      <c r="B5230" s="3" t="str">
        <f>"201512000627"</f>
        <v>201512000627</v>
      </c>
    </row>
    <row r="5231" spans="1:2" x14ac:dyDescent="0.25">
      <c r="A5231" s="3">
        <v>5226</v>
      </c>
      <c r="B5231" s="3" t="str">
        <f>"201512000629"</f>
        <v>201512000629</v>
      </c>
    </row>
    <row r="5232" spans="1:2" x14ac:dyDescent="0.25">
      <c r="A5232" s="3">
        <v>5227</v>
      </c>
      <c r="B5232" s="3" t="str">
        <f>"201512000651"</f>
        <v>201512000651</v>
      </c>
    </row>
    <row r="5233" spans="1:2" x14ac:dyDescent="0.25">
      <c r="A5233" s="3">
        <v>5228</v>
      </c>
      <c r="B5233" s="3" t="str">
        <f>"201512000652"</f>
        <v>201512000652</v>
      </c>
    </row>
    <row r="5234" spans="1:2" x14ac:dyDescent="0.25">
      <c r="A5234" s="3">
        <v>5229</v>
      </c>
      <c r="B5234" s="3" t="str">
        <f>"201512000663"</f>
        <v>201512000663</v>
      </c>
    </row>
    <row r="5235" spans="1:2" x14ac:dyDescent="0.25">
      <c r="A5235" s="3">
        <v>5230</v>
      </c>
      <c r="B5235" s="3" t="str">
        <f>"201512000673"</f>
        <v>201512000673</v>
      </c>
    </row>
    <row r="5236" spans="1:2" x14ac:dyDescent="0.25">
      <c r="A5236" s="3">
        <v>5231</v>
      </c>
      <c r="B5236" s="3" t="str">
        <f>"201512000737"</f>
        <v>201512000737</v>
      </c>
    </row>
    <row r="5237" spans="1:2" x14ac:dyDescent="0.25">
      <c r="A5237" s="3">
        <v>5232</v>
      </c>
      <c r="B5237" s="3" t="str">
        <f>"201512000747"</f>
        <v>201512000747</v>
      </c>
    </row>
    <row r="5238" spans="1:2" x14ac:dyDescent="0.25">
      <c r="A5238" s="3">
        <v>5233</v>
      </c>
      <c r="B5238" s="3" t="str">
        <f>"201512000749"</f>
        <v>201512000749</v>
      </c>
    </row>
    <row r="5239" spans="1:2" x14ac:dyDescent="0.25">
      <c r="A5239" s="3">
        <v>5234</v>
      </c>
      <c r="B5239" s="3" t="str">
        <f>"201512001170"</f>
        <v>201512001170</v>
      </c>
    </row>
    <row r="5240" spans="1:2" x14ac:dyDescent="0.25">
      <c r="A5240" s="3">
        <v>5235</v>
      </c>
      <c r="B5240" s="3" t="str">
        <f>"201512001232"</f>
        <v>201512001232</v>
      </c>
    </row>
    <row r="5241" spans="1:2" x14ac:dyDescent="0.25">
      <c r="A5241" s="3">
        <v>5236</v>
      </c>
      <c r="B5241" s="3" t="str">
        <f>"201512001233"</f>
        <v>201512001233</v>
      </c>
    </row>
    <row r="5242" spans="1:2" x14ac:dyDescent="0.25">
      <c r="A5242" s="3">
        <v>5237</v>
      </c>
      <c r="B5242" s="3" t="str">
        <f>"201512001304"</f>
        <v>201512001304</v>
      </c>
    </row>
    <row r="5243" spans="1:2" x14ac:dyDescent="0.25">
      <c r="A5243" s="3">
        <v>5238</v>
      </c>
      <c r="B5243" s="3" t="str">
        <f>"201512001314"</f>
        <v>201512001314</v>
      </c>
    </row>
    <row r="5244" spans="1:2" x14ac:dyDescent="0.25">
      <c r="A5244" s="3">
        <v>5239</v>
      </c>
      <c r="B5244" s="3" t="str">
        <f>"201512001390"</f>
        <v>201512001390</v>
      </c>
    </row>
    <row r="5245" spans="1:2" x14ac:dyDescent="0.25">
      <c r="A5245" s="3">
        <v>5240</v>
      </c>
      <c r="B5245" s="3" t="str">
        <f>"201512001393"</f>
        <v>201512001393</v>
      </c>
    </row>
    <row r="5246" spans="1:2" x14ac:dyDescent="0.25">
      <c r="A5246" s="3">
        <v>5241</v>
      </c>
      <c r="B5246" s="3" t="str">
        <f>"201512001468"</f>
        <v>201512001468</v>
      </c>
    </row>
    <row r="5247" spans="1:2" x14ac:dyDescent="0.25">
      <c r="A5247" s="3">
        <v>5242</v>
      </c>
      <c r="B5247" s="3" t="str">
        <f>"201512001492"</f>
        <v>201512001492</v>
      </c>
    </row>
    <row r="5248" spans="1:2" x14ac:dyDescent="0.25">
      <c r="A5248" s="3">
        <v>5243</v>
      </c>
      <c r="B5248" s="3" t="str">
        <f>"201512001518"</f>
        <v>201512001518</v>
      </c>
    </row>
    <row r="5249" spans="1:2" x14ac:dyDescent="0.25">
      <c r="A5249" s="3">
        <v>5244</v>
      </c>
      <c r="B5249" s="3" t="str">
        <f>"201512001561"</f>
        <v>201512001561</v>
      </c>
    </row>
    <row r="5250" spans="1:2" x14ac:dyDescent="0.25">
      <c r="A5250" s="3">
        <v>5245</v>
      </c>
      <c r="B5250" s="3" t="str">
        <f>"201512001618"</f>
        <v>201512001618</v>
      </c>
    </row>
    <row r="5251" spans="1:2" x14ac:dyDescent="0.25">
      <c r="A5251" s="3">
        <v>5246</v>
      </c>
      <c r="B5251" s="3" t="str">
        <f>"201512001635"</f>
        <v>201512001635</v>
      </c>
    </row>
    <row r="5252" spans="1:2" x14ac:dyDescent="0.25">
      <c r="A5252" s="3">
        <v>5247</v>
      </c>
      <c r="B5252" s="3" t="str">
        <f>"201512001640"</f>
        <v>201512001640</v>
      </c>
    </row>
    <row r="5253" spans="1:2" x14ac:dyDescent="0.25">
      <c r="A5253" s="3">
        <v>5248</v>
      </c>
      <c r="B5253" s="3" t="str">
        <f>"201512001675"</f>
        <v>201512001675</v>
      </c>
    </row>
    <row r="5254" spans="1:2" x14ac:dyDescent="0.25">
      <c r="A5254" s="3">
        <v>5249</v>
      </c>
      <c r="B5254" s="3" t="str">
        <f>"201512001687"</f>
        <v>201512001687</v>
      </c>
    </row>
    <row r="5255" spans="1:2" x14ac:dyDescent="0.25">
      <c r="A5255" s="3">
        <v>5250</v>
      </c>
      <c r="B5255" s="3" t="str">
        <f>"201512001806"</f>
        <v>201512001806</v>
      </c>
    </row>
    <row r="5256" spans="1:2" x14ac:dyDescent="0.25">
      <c r="A5256" s="3">
        <v>5251</v>
      </c>
      <c r="B5256" s="3" t="str">
        <f>"201512002036"</f>
        <v>201512002036</v>
      </c>
    </row>
    <row r="5257" spans="1:2" x14ac:dyDescent="0.25">
      <c r="A5257" s="3">
        <v>5252</v>
      </c>
      <c r="B5257" s="3" t="str">
        <f>"201512002175"</f>
        <v>201512002175</v>
      </c>
    </row>
    <row r="5258" spans="1:2" x14ac:dyDescent="0.25">
      <c r="A5258" s="3">
        <v>5253</v>
      </c>
      <c r="B5258" s="3" t="str">
        <f>"201512002294"</f>
        <v>201512002294</v>
      </c>
    </row>
    <row r="5259" spans="1:2" x14ac:dyDescent="0.25">
      <c r="A5259" s="3">
        <v>5254</v>
      </c>
      <c r="B5259" s="3" t="str">
        <f>"201512002376"</f>
        <v>201512002376</v>
      </c>
    </row>
    <row r="5260" spans="1:2" x14ac:dyDescent="0.25">
      <c r="A5260" s="3">
        <v>5255</v>
      </c>
      <c r="B5260" s="3" t="str">
        <f>"201512002379"</f>
        <v>201512002379</v>
      </c>
    </row>
    <row r="5261" spans="1:2" x14ac:dyDescent="0.25">
      <c r="A5261" s="3">
        <v>5256</v>
      </c>
      <c r="B5261" s="3" t="str">
        <f>"201512002722"</f>
        <v>201512002722</v>
      </c>
    </row>
    <row r="5262" spans="1:2" x14ac:dyDescent="0.25">
      <c r="A5262" s="3">
        <v>5257</v>
      </c>
      <c r="B5262" s="3" t="str">
        <f>"201512003116"</f>
        <v>201512003116</v>
      </c>
    </row>
    <row r="5263" spans="1:2" x14ac:dyDescent="0.25">
      <c r="A5263" s="3">
        <v>5258</v>
      </c>
      <c r="B5263" s="3" t="str">
        <f>"201512003365"</f>
        <v>201512003365</v>
      </c>
    </row>
    <row r="5264" spans="1:2" x14ac:dyDescent="0.25">
      <c r="A5264" s="3">
        <v>5259</v>
      </c>
      <c r="B5264" s="3" t="str">
        <f>"201512003398"</f>
        <v>201512003398</v>
      </c>
    </row>
    <row r="5265" spans="1:2" x14ac:dyDescent="0.25">
      <c r="A5265" s="3">
        <v>5260</v>
      </c>
      <c r="B5265" s="3" t="str">
        <f>"201512003611"</f>
        <v>201512003611</v>
      </c>
    </row>
    <row r="5266" spans="1:2" x14ac:dyDescent="0.25">
      <c r="A5266" s="3">
        <v>5261</v>
      </c>
      <c r="B5266" s="3" t="str">
        <f>"201512003740"</f>
        <v>201512003740</v>
      </c>
    </row>
    <row r="5267" spans="1:2" x14ac:dyDescent="0.25">
      <c r="A5267" s="3">
        <v>5262</v>
      </c>
      <c r="B5267" s="3" t="str">
        <f>"201512003748"</f>
        <v>201512003748</v>
      </c>
    </row>
    <row r="5268" spans="1:2" x14ac:dyDescent="0.25">
      <c r="A5268" s="3">
        <v>5263</v>
      </c>
      <c r="B5268" s="3" t="str">
        <f>"201512004092"</f>
        <v>201512004092</v>
      </c>
    </row>
    <row r="5269" spans="1:2" x14ac:dyDescent="0.25">
      <c r="A5269" s="3">
        <v>5264</v>
      </c>
      <c r="B5269" s="3" t="str">
        <f>"201512004144"</f>
        <v>201512004144</v>
      </c>
    </row>
    <row r="5270" spans="1:2" x14ac:dyDescent="0.25">
      <c r="A5270" s="3">
        <v>5265</v>
      </c>
      <c r="B5270" s="3" t="str">
        <f>"201512004182"</f>
        <v>201512004182</v>
      </c>
    </row>
    <row r="5271" spans="1:2" x14ac:dyDescent="0.25">
      <c r="A5271" s="3">
        <v>5266</v>
      </c>
      <c r="B5271" s="3" t="str">
        <f>"201512004403"</f>
        <v>201512004403</v>
      </c>
    </row>
    <row r="5272" spans="1:2" x14ac:dyDescent="0.25">
      <c r="A5272" s="3">
        <v>5267</v>
      </c>
      <c r="B5272" s="3" t="str">
        <f>"201512004485"</f>
        <v>201512004485</v>
      </c>
    </row>
    <row r="5273" spans="1:2" x14ac:dyDescent="0.25">
      <c r="A5273" s="3">
        <v>5268</v>
      </c>
      <c r="B5273" s="3" t="str">
        <f>"201512004504"</f>
        <v>201512004504</v>
      </c>
    </row>
    <row r="5274" spans="1:2" x14ac:dyDescent="0.25">
      <c r="A5274" s="3">
        <v>5269</v>
      </c>
      <c r="B5274" s="3" t="str">
        <f>"201512004741"</f>
        <v>201512004741</v>
      </c>
    </row>
    <row r="5275" spans="1:2" x14ac:dyDescent="0.25">
      <c r="A5275" s="3">
        <v>5270</v>
      </c>
      <c r="B5275" s="3" t="str">
        <f>"201512004890"</f>
        <v>201512004890</v>
      </c>
    </row>
    <row r="5276" spans="1:2" x14ac:dyDescent="0.25">
      <c r="A5276" s="3">
        <v>5271</v>
      </c>
      <c r="B5276" s="3" t="str">
        <f>"201512004926"</f>
        <v>201512004926</v>
      </c>
    </row>
    <row r="5277" spans="1:2" x14ac:dyDescent="0.25">
      <c r="A5277" s="3">
        <v>5272</v>
      </c>
      <c r="B5277" s="3" t="str">
        <f>"201512005012"</f>
        <v>201512005012</v>
      </c>
    </row>
    <row r="5278" spans="1:2" x14ac:dyDescent="0.25">
      <c r="A5278" s="3">
        <v>5273</v>
      </c>
      <c r="B5278" s="3" t="str">
        <f>"201512005117"</f>
        <v>201512005117</v>
      </c>
    </row>
    <row r="5279" spans="1:2" x14ac:dyDescent="0.25">
      <c r="A5279" s="3">
        <v>5274</v>
      </c>
      <c r="B5279" s="3" t="str">
        <f>"201512005476"</f>
        <v>201512005476</v>
      </c>
    </row>
    <row r="5280" spans="1:2" x14ac:dyDescent="0.25">
      <c r="A5280" s="3">
        <v>5275</v>
      </c>
      <c r="B5280" s="3" t="str">
        <f>"201512005594"</f>
        <v>201512005594</v>
      </c>
    </row>
    <row r="5281" spans="1:2" x14ac:dyDescent="0.25">
      <c r="A5281" s="3">
        <v>5276</v>
      </c>
      <c r="B5281" s="3" t="str">
        <f>"201601000026"</f>
        <v>201601000026</v>
      </c>
    </row>
    <row r="5282" spans="1:2" x14ac:dyDescent="0.25">
      <c r="A5282" s="3">
        <v>5277</v>
      </c>
      <c r="B5282" s="3" t="str">
        <f>"201601000129"</f>
        <v>201601000129</v>
      </c>
    </row>
    <row r="5283" spans="1:2" x14ac:dyDescent="0.25">
      <c r="A5283" s="3">
        <v>5278</v>
      </c>
      <c r="B5283" s="3" t="str">
        <f>"201601000135"</f>
        <v>201601000135</v>
      </c>
    </row>
    <row r="5284" spans="1:2" x14ac:dyDescent="0.25">
      <c r="A5284" s="3">
        <v>5279</v>
      </c>
      <c r="B5284" s="3" t="str">
        <f>"201601000418"</f>
        <v>201601000418</v>
      </c>
    </row>
    <row r="5285" spans="1:2" x14ac:dyDescent="0.25">
      <c r="A5285" s="3">
        <v>5280</v>
      </c>
      <c r="B5285" s="3" t="str">
        <f>"201601000581"</f>
        <v>201601000581</v>
      </c>
    </row>
    <row r="5286" spans="1:2" x14ac:dyDescent="0.25">
      <c r="A5286" s="3">
        <v>5281</v>
      </c>
      <c r="B5286" s="3" t="str">
        <f>"201601000800"</f>
        <v>201601000800</v>
      </c>
    </row>
    <row r="5287" spans="1:2" x14ac:dyDescent="0.25">
      <c r="A5287" s="3">
        <v>5282</v>
      </c>
      <c r="B5287" s="3" t="str">
        <f>"201601000833"</f>
        <v>201601000833</v>
      </c>
    </row>
    <row r="5288" spans="1:2" x14ac:dyDescent="0.25">
      <c r="A5288" s="3">
        <v>5283</v>
      </c>
      <c r="B5288" s="3" t="str">
        <f>"201601000944"</f>
        <v>201601000944</v>
      </c>
    </row>
    <row r="5289" spans="1:2" x14ac:dyDescent="0.25">
      <c r="A5289" s="3">
        <v>5284</v>
      </c>
      <c r="B5289" s="3" t="str">
        <f>"201601001017"</f>
        <v>201601001017</v>
      </c>
    </row>
    <row r="5290" spans="1:2" x14ac:dyDescent="0.25">
      <c r="A5290" s="3">
        <v>5285</v>
      </c>
      <c r="B5290" s="3" t="str">
        <f>"201601001279"</f>
        <v>201601001279</v>
      </c>
    </row>
    <row r="5291" spans="1:2" x14ac:dyDescent="0.25">
      <c r="A5291" s="3">
        <v>5286</v>
      </c>
      <c r="B5291" s="3" t="str">
        <f>"201601001304"</f>
        <v>201601001304</v>
      </c>
    </row>
    <row r="5292" spans="1:2" x14ac:dyDescent="0.25">
      <c r="A5292" s="3">
        <v>5287</v>
      </c>
      <c r="B5292" s="3" t="str">
        <f>"201602000424"</f>
        <v>201602000424</v>
      </c>
    </row>
    <row r="5293" spans="1:2" x14ac:dyDescent="0.25">
      <c r="A5293" s="3">
        <v>5288</v>
      </c>
      <c r="B5293" s="3" t="str">
        <f>"201603000086"</f>
        <v>201603000086</v>
      </c>
    </row>
    <row r="5294" spans="1:2" x14ac:dyDescent="0.25">
      <c r="A5294" s="3">
        <v>5289</v>
      </c>
      <c r="B5294" s="3" t="str">
        <f>"201603000138"</f>
        <v>201603000138</v>
      </c>
    </row>
    <row r="5295" spans="1:2" x14ac:dyDescent="0.25">
      <c r="A5295" s="3">
        <v>5290</v>
      </c>
      <c r="B5295" s="3" t="str">
        <f>"201603000287"</f>
        <v>201603000287</v>
      </c>
    </row>
    <row r="5296" spans="1:2" x14ac:dyDescent="0.25">
      <c r="A5296" s="3">
        <v>5291</v>
      </c>
      <c r="B5296" s="3" t="str">
        <f>"201603000390"</f>
        <v>201603000390</v>
      </c>
    </row>
    <row r="5297" spans="1:2" x14ac:dyDescent="0.25">
      <c r="A5297" s="3">
        <v>5292</v>
      </c>
      <c r="B5297" s="3" t="str">
        <f>"201604000099"</f>
        <v>201604000099</v>
      </c>
    </row>
    <row r="5298" spans="1:2" x14ac:dyDescent="0.25">
      <c r="A5298" s="3">
        <v>5293</v>
      </c>
      <c r="B5298" s="3" t="str">
        <f>"201604000485"</f>
        <v>201604000485</v>
      </c>
    </row>
    <row r="5299" spans="1:2" x14ac:dyDescent="0.25">
      <c r="A5299" s="3">
        <v>5294</v>
      </c>
      <c r="B5299" s="3" t="str">
        <f>"201604001593"</f>
        <v>201604001593</v>
      </c>
    </row>
    <row r="5300" spans="1:2" x14ac:dyDescent="0.25">
      <c r="A5300" s="3">
        <v>5295</v>
      </c>
      <c r="B5300" s="3" t="str">
        <f>"201604002740"</f>
        <v>201604002740</v>
      </c>
    </row>
    <row r="5301" spans="1:2" x14ac:dyDescent="0.25">
      <c r="A5301" s="3">
        <v>5296</v>
      </c>
      <c r="B5301" s="3" t="str">
        <f>"201604003666"</f>
        <v>201604003666</v>
      </c>
    </row>
    <row r="5302" spans="1:2" x14ac:dyDescent="0.25">
      <c r="A5302" s="3">
        <v>5297</v>
      </c>
      <c r="B5302" s="3" t="str">
        <f>"201604003805"</f>
        <v>201604003805</v>
      </c>
    </row>
    <row r="5303" spans="1:2" x14ac:dyDescent="0.25">
      <c r="A5303" s="3">
        <v>5298</v>
      </c>
      <c r="B5303" s="3" t="str">
        <f>"201604004116"</f>
        <v>201604004116</v>
      </c>
    </row>
    <row r="5304" spans="1:2" x14ac:dyDescent="0.25">
      <c r="A5304" s="3">
        <v>5299</v>
      </c>
      <c r="B5304" s="3" t="str">
        <f>"201604004461"</f>
        <v>201604004461</v>
      </c>
    </row>
    <row r="5305" spans="1:2" x14ac:dyDescent="0.25">
      <c r="A5305" s="3">
        <v>5300</v>
      </c>
      <c r="B5305" s="3" t="str">
        <f>"201604005588"</f>
        <v>201604005588</v>
      </c>
    </row>
    <row r="5306" spans="1:2" x14ac:dyDescent="0.25">
      <c r="A5306" s="3">
        <v>5301</v>
      </c>
      <c r="B5306" s="3" t="str">
        <f>"201604006325"</f>
        <v>201604006325</v>
      </c>
    </row>
    <row r="5307" spans="1:2" x14ac:dyDescent="0.25">
      <c r="A5307" s="3">
        <v>5302</v>
      </c>
      <c r="B5307" s="3" t="str">
        <f>"201605000106"</f>
        <v>201605000106</v>
      </c>
    </row>
    <row r="5308" spans="1:2" x14ac:dyDescent="0.25">
      <c r="A5308" s="3">
        <v>5303</v>
      </c>
      <c r="B5308" s="3" t="str">
        <f>"201606000035"</f>
        <v>201606000035</v>
      </c>
    </row>
    <row r="5309" spans="1:2" x14ac:dyDescent="0.25">
      <c r="A5309" s="3">
        <v>5304</v>
      </c>
      <c r="B5309" s="3" t="str">
        <f>"201606000068"</f>
        <v>201606000068</v>
      </c>
    </row>
  </sheetData>
  <sortState ref="A6:B5309">
    <sortCondition ref="B6:B5309"/>
  </sortState>
  <mergeCells count="2">
    <mergeCell ref="A3:B3"/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004"/>
  <sheetViews>
    <sheetView workbookViewId="0">
      <selection sqref="A1:B1"/>
    </sheetView>
  </sheetViews>
  <sheetFormatPr defaultRowHeight="15" x14ac:dyDescent="0.25"/>
  <cols>
    <col min="1" max="1" width="10.5703125" style="2" customWidth="1"/>
    <col min="2" max="2" width="36.140625" style="2" customWidth="1"/>
  </cols>
  <sheetData>
    <row r="1" spans="1:2" ht="29.25" customHeight="1" x14ac:dyDescent="0.25">
      <c r="A1" s="12" t="s">
        <v>0</v>
      </c>
      <c r="B1" s="13"/>
    </row>
    <row r="2" spans="1:2" ht="18.75" customHeight="1" x14ac:dyDescent="0.25">
      <c r="A2" s="11"/>
      <c r="B2" s="9"/>
    </row>
    <row r="3" spans="1:2" ht="42.75" customHeight="1" x14ac:dyDescent="0.25">
      <c r="A3" s="14" t="s">
        <v>2</v>
      </c>
      <c r="B3" s="15"/>
    </row>
    <row r="4" spans="1:2" ht="23.25" customHeight="1" x14ac:dyDescent="0.25">
      <c r="A4" s="7"/>
      <c r="B4" s="9"/>
    </row>
    <row r="5" spans="1:2" ht="37.5" customHeight="1" x14ac:dyDescent="0.25">
      <c r="A5" s="5" t="s">
        <v>1</v>
      </c>
      <c r="B5" s="1" t="s">
        <v>4</v>
      </c>
    </row>
    <row r="6" spans="1:2" x14ac:dyDescent="0.25">
      <c r="A6" s="4">
        <v>1</v>
      </c>
      <c r="B6" s="3" t="str">
        <f>"00001274"</f>
        <v>00001274</v>
      </c>
    </row>
    <row r="7" spans="1:2" x14ac:dyDescent="0.25">
      <c r="A7" s="4">
        <v>2</v>
      </c>
      <c r="B7" s="3" t="str">
        <f>"00001338"</f>
        <v>00001338</v>
      </c>
    </row>
    <row r="8" spans="1:2" x14ac:dyDescent="0.25">
      <c r="A8" s="4">
        <v>3</v>
      </c>
      <c r="B8" s="3" t="str">
        <f>"00001376"</f>
        <v>00001376</v>
      </c>
    </row>
    <row r="9" spans="1:2" x14ac:dyDescent="0.25">
      <c r="A9" s="4">
        <v>4</v>
      </c>
      <c r="B9" s="3" t="str">
        <f>"00001600"</f>
        <v>00001600</v>
      </c>
    </row>
    <row r="10" spans="1:2" x14ac:dyDescent="0.25">
      <c r="A10" s="4">
        <v>5</v>
      </c>
      <c r="B10" s="3" t="str">
        <f>"00001605"</f>
        <v>00001605</v>
      </c>
    </row>
    <row r="11" spans="1:2" x14ac:dyDescent="0.25">
      <c r="A11" s="4">
        <v>6</v>
      </c>
      <c r="B11" s="3" t="str">
        <f>"00001687"</f>
        <v>00001687</v>
      </c>
    </row>
    <row r="12" spans="1:2" x14ac:dyDescent="0.25">
      <c r="A12" s="4">
        <v>7</v>
      </c>
      <c r="B12" s="3" t="str">
        <f>"00001750"</f>
        <v>00001750</v>
      </c>
    </row>
    <row r="13" spans="1:2" x14ac:dyDescent="0.25">
      <c r="A13" s="4">
        <v>8</v>
      </c>
      <c r="B13" s="3" t="str">
        <f>"00001964"</f>
        <v>00001964</v>
      </c>
    </row>
    <row r="14" spans="1:2" x14ac:dyDescent="0.25">
      <c r="A14" s="4">
        <v>9</v>
      </c>
      <c r="B14" s="3" t="str">
        <f>"00002056"</f>
        <v>00002056</v>
      </c>
    </row>
    <row r="15" spans="1:2" x14ac:dyDescent="0.25">
      <c r="A15" s="4">
        <v>10</v>
      </c>
      <c r="B15" s="3" t="str">
        <f>"00002066"</f>
        <v>00002066</v>
      </c>
    </row>
    <row r="16" spans="1:2" x14ac:dyDescent="0.25">
      <c r="A16" s="4">
        <v>11</v>
      </c>
      <c r="B16" s="3" t="str">
        <f>"00002132"</f>
        <v>00002132</v>
      </c>
    </row>
    <row r="17" spans="1:2" x14ac:dyDescent="0.25">
      <c r="A17" s="4">
        <v>12</v>
      </c>
      <c r="B17" s="3" t="str">
        <f>"00002306"</f>
        <v>00002306</v>
      </c>
    </row>
    <row r="18" spans="1:2" x14ac:dyDescent="0.25">
      <c r="A18" s="4">
        <v>13</v>
      </c>
      <c r="B18" s="3" t="str">
        <f>"00002384"</f>
        <v>00002384</v>
      </c>
    </row>
    <row r="19" spans="1:2" x14ac:dyDescent="0.25">
      <c r="A19" s="4">
        <v>14</v>
      </c>
      <c r="B19" s="3" t="str">
        <f>"00002410"</f>
        <v>00002410</v>
      </c>
    </row>
    <row r="20" spans="1:2" x14ac:dyDescent="0.25">
      <c r="A20" s="4">
        <v>15</v>
      </c>
      <c r="B20" s="3" t="str">
        <f>"00002438"</f>
        <v>00002438</v>
      </c>
    </row>
    <row r="21" spans="1:2" x14ac:dyDescent="0.25">
      <c r="A21" s="4">
        <v>16</v>
      </c>
      <c r="B21" s="3" t="str">
        <f>"00002460"</f>
        <v>00002460</v>
      </c>
    </row>
    <row r="22" spans="1:2" x14ac:dyDescent="0.25">
      <c r="A22" s="4">
        <v>17</v>
      </c>
      <c r="B22" s="3" t="str">
        <f>"00002596"</f>
        <v>00002596</v>
      </c>
    </row>
    <row r="23" spans="1:2" x14ac:dyDescent="0.25">
      <c r="A23" s="4">
        <v>18</v>
      </c>
      <c r="B23" s="3" t="str">
        <f>"00003275"</f>
        <v>00003275</v>
      </c>
    </row>
    <row r="24" spans="1:2" x14ac:dyDescent="0.25">
      <c r="A24" s="4">
        <v>19</v>
      </c>
      <c r="B24" s="3" t="str">
        <f>"00003307"</f>
        <v>00003307</v>
      </c>
    </row>
    <row r="25" spans="1:2" x14ac:dyDescent="0.25">
      <c r="A25" s="4">
        <v>20</v>
      </c>
      <c r="B25" s="3" t="str">
        <f>"00003467"</f>
        <v>00003467</v>
      </c>
    </row>
    <row r="26" spans="1:2" x14ac:dyDescent="0.25">
      <c r="A26" s="4">
        <v>21</v>
      </c>
      <c r="B26" s="3" t="str">
        <f>"00003618"</f>
        <v>00003618</v>
      </c>
    </row>
    <row r="27" spans="1:2" x14ac:dyDescent="0.25">
      <c r="A27" s="4">
        <v>22</v>
      </c>
      <c r="B27" s="3" t="str">
        <f>"00003908"</f>
        <v>00003908</v>
      </c>
    </row>
    <row r="28" spans="1:2" x14ac:dyDescent="0.25">
      <c r="A28" s="4">
        <v>23</v>
      </c>
      <c r="B28" s="3" t="str">
        <f>"00003912"</f>
        <v>00003912</v>
      </c>
    </row>
    <row r="29" spans="1:2" x14ac:dyDescent="0.25">
      <c r="A29" s="4">
        <v>24</v>
      </c>
      <c r="B29" s="3" t="str">
        <f>"00003957"</f>
        <v>00003957</v>
      </c>
    </row>
    <row r="30" spans="1:2" x14ac:dyDescent="0.25">
      <c r="A30" s="4">
        <v>25</v>
      </c>
      <c r="B30" s="3" t="str">
        <f>"00004079"</f>
        <v>00004079</v>
      </c>
    </row>
    <row r="31" spans="1:2" x14ac:dyDescent="0.25">
      <c r="A31" s="4">
        <v>26</v>
      </c>
      <c r="B31" s="3" t="str">
        <f>"00004309"</f>
        <v>00004309</v>
      </c>
    </row>
    <row r="32" spans="1:2" x14ac:dyDescent="0.25">
      <c r="A32" s="4">
        <v>27</v>
      </c>
      <c r="B32" s="3" t="str">
        <f>"00004518"</f>
        <v>00004518</v>
      </c>
    </row>
    <row r="33" spans="1:2" x14ac:dyDescent="0.25">
      <c r="A33" s="4">
        <v>28</v>
      </c>
      <c r="B33" s="3" t="str">
        <f>"00004594"</f>
        <v>00004594</v>
      </c>
    </row>
    <row r="34" spans="1:2" x14ac:dyDescent="0.25">
      <c r="A34" s="4">
        <v>29</v>
      </c>
      <c r="B34" s="3" t="str">
        <f>"00004708"</f>
        <v>00004708</v>
      </c>
    </row>
    <row r="35" spans="1:2" x14ac:dyDescent="0.25">
      <c r="A35" s="4">
        <v>30</v>
      </c>
      <c r="B35" s="3" t="str">
        <f>"00004910"</f>
        <v>00004910</v>
      </c>
    </row>
    <row r="36" spans="1:2" x14ac:dyDescent="0.25">
      <c r="A36" s="4">
        <v>31</v>
      </c>
      <c r="B36" s="3" t="str">
        <f>"00005328"</f>
        <v>00005328</v>
      </c>
    </row>
    <row r="37" spans="1:2" x14ac:dyDescent="0.25">
      <c r="A37" s="4">
        <v>32</v>
      </c>
      <c r="B37" s="3" t="str">
        <f>"00005405"</f>
        <v>00005405</v>
      </c>
    </row>
    <row r="38" spans="1:2" x14ac:dyDescent="0.25">
      <c r="A38" s="4">
        <v>33</v>
      </c>
      <c r="B38" s="3" t="str">
        <f>"00005645"</f>
        <v>00005645</v>
      </c>
    </row>
    <row r="39" spans="1:2" x14ac:dyDescent="0.25">
      <c r="A39" s="4">
        <v>34</v>
      </c>
      <c r="B39" s="3" t="str">
        <f>"00005721"</f>
        <v>00005721</v>
      </c>
    </row>
    <row r="40" spans="1:2" x14ac:dyDescent="0.25">
      <c r="A40" s="4">
        <v>35</v>
      </c>
      <c r="B40" s="3" t="str">
        <f>"00005724"</f>
        <v>00005724</v>
      </c>
    </row>
    <row r="41" spans="1:2" x14ac:dyDescent="0.25">
      <c r="A41" s="4">
        <v>36</v>
      </c>
      <c r="B41" s="3" t="str">
        <f>"00005856"</f>
        <v>00005856</v>
      </c>
    </row>
    <row r="42" spans="1:2" x14ac:dyDescent="0.25">
      <c r="A42" s="4">
        <v>37</v>
      </c>
      <c r="B42" s="3" t="str">
        <f>"00005888"</f>
        <v>00005888</v>
      </c>
    </row>
    <row r="43" spans="1:2" x14ac:dyDescent="0.25">
      <c r="A43" s="4">
        <v>38</v>
      </c>
      <c r="B43" s="3" t="str">
        <f>"00006080"</f>
        <v>00006080</v>
      </c>
    </row>
    <row r="44" spans="1:2" x14ac:dyDescent="0.25">
      <c r="A44" s="4">
        <v>39</v>
      </c>
      <c r="B44" s="3" t="str">
        <f>"00006200"</f>
        <v>00006200</v>
      </c>
    </row>
    <row r="45" spans="1:2" x14ac:dyDescent="0.25">
      <c r="A45" s="4">
        <v>40</v>
      </c>
      <c r="B45" s="3" t="str">
        <f>"00006428"</f>
        <v>00006428</v>
      </c>
    </row>
    <row r="46" spans="1:2" x14ac:dyDescent="0.25">
      <c r="A46" s="4">
        <v>41</v>
      </c>
      <c r="B46" s="3" t="str">
        <f>"00006527"</f>
        <v>00006527</v>
      </c>
    </row>
    <row r="47" spans="1:2" x14ac:dyDescent="0.25">
      <c r="A47" s="4">
        <v>42</v>
      </c>
      <c r="B47" s="3" t="str">
        <f>"00006531"</f>
        <v>00006531</v>
      </c>
    </row>
    <row r="48" spans="1:2" x14ac:dyDescent="0.25">
      <c r="A48" s="4">
        <v>43</v>
      </c>
      <c r="B48" s="3" t="str">
        <f>"00007144"</f>
        <v>00007144</v>
      </c>
    </row>
    <row r="49" spans="1:2" x14ac:dyDescent="0.25">
      <c r="A49" s="4">
        <v>44</v>
      </c>
      <c r="B49" s="3" t="str">
        <f>"00007647"</f>
        <v>00007647</v>
      </c>
    </row>
    <row r="50" spans="1:2" x14ac:dyDescent="0.25">
      <c r="A50" s="4">
        <v>45</v>
      </c>
      <c r="B50" s="3" t="str">
        <f>"00008301"</f>
        <v>00008301</v>
      </c>
    </row>
    <row r="51" spans="1:2" x14ac:dyDescent="0.25">
      <c r="A51" s="4">
        <v>46</v>
      </c>
      <c r="B51" s="3" t="str">
        <f>"00008365"</f>
        <v>00008365</v>
      </c>
    </row>
    <row r="52" spans="1:2" x14ac:dyDescent="0.25">
      <c r="A52" s="4">
        <v>47</v>
      </c>
      <c r="B52" s="3" t="str">
        <f>"00008604"</f>
        <v>00008604</v>
      </c>
    </row>
    <row r="53" spans="1:2" x14ac:dyDescent="0.25">
      <c r="A53" s="4">
        <v>48</v>
      </c>
      <c r="B53" s="3" t="str">
        <f>"00009447"</f>
        <v>00009447</v>
      </c>
    </row>
    <row r="54" spans="1:2" x14ac:dyDescent="0.25">
      <c r="A54" s="4">
        <v>49</v>
      </c>
      <c r="B54" s="3" t="str">
        <f>"00009646"</f>
        <v>00009646</v>
      </c>
    </row>
    <row r="55" spans="1:2" x14ac:dyDescent="0.25">
      <c r="A55" s="4">
        <v>50</v>
      </c>
      <c r="B55" s="3" t="str">
        <f>"00009857"</f>
        <v>00009857</v>
      </c>
    </row>
    <row r="56" spans="1:2" x14ac:dyDescent="0.25">
      <c r="A56" s="4">
        <v>51</v>
      </c>
      <c r="B56" s="3" t="str">
        <f>"00010280"</f>
        <v>00010280</v>
      </c>
    </row>
    <row r="57" spans="1:2" x14ac:dyDescent="0.25">
      <c r="A57" s="4">
        <v>52</v>
      </c>
      <c r="B57" s="3" t="str">
        <f>"00010551"</f>
        <v>00010551</v>
      </c>
    </row>
    <row r="58" spans="1:2" x14ac:dyDescent="0.25">
      <c r="A58" s="4">
        <v>53</v>
      </c>
      <c r="B58" s="3" t="str">
        <f>"00010582"</f>
        <v>00010582</v>
      </c>
    </row>
    <row r="59" spans="1:2" x14ac:dyDescent="0.25">
      <c r="A59" s="4">
        <v>54</v>
      </c>
      <c r="B59" s="3" t="str">
        <f>"00010824"</f>
        <v>00010824</v>
      </c>
    </row>
    <row r="60" spans="1:2" x14ac:dyDescent="0.25">
      <c r="A60" s="4">
        <v>55</v>
      </c>
      <c r="B60" s="3" t="str">
        <f>"00010839"</f>
        <v>00010839</v>
      </c>
    </row>
    <row r="61" spans="1:2" x14ac:dyDescent="0.25">
      <c r="A61" s="4">
        <v>56</v>
      </c>
      <c r="B61" s="3" t="str">
        <f>"00010986"</f>
        <v>00010986</v>
      </c>
    </row>
    <row r="62" spans="1:2" x14ac:dyDescent="0.25">
      <c r="A62" s="4">
        <v>57</v>
      </c>
      <c r="B62" s="3" t="str">
        <f>"00011196"</f>
        <v>00011196</v>
      </c>
    </row>
    <row r="63" spans="1:2" x14ac:dyDescent="0.25">
      <c r="A63" s="4">
        <v>58</v>
      </c>
      <c r="B63" s="3" t="str">
        <f>"00011383"</f>
        <v>00011383</v>
      </c>
    </row>
    <row r="64" spans="1:2" x14ac:dyDescent="0.25">
      <c r="A64" s="4">
        <v>59</v>
      </c>
      <c r="B64" s="3" t="str">
        <f>"00011900"</f>
        <v>00011900</v>
      </c>
    </row>
    <row r="65" spans="1:2" x14ac:dyDescent="0.25">
      <c r="A65" s="4">
        <v>60</v>
      </c>
      <c r="B65" s="3" t="str">
        <f>"00012874"</f>
        <v>00012874</v>
      </c>
    </row>
    <row r="66" spans="1:2" x14ac:dyDescent="0.25">
      <c r="A66" s="4">
        <v>61</v>
      </c>
      <c r="B66" s="3" t="str">
        <f>"00013372"</f>
        <v>00013372</v>
      </c>
    </row>
    <row r="67" spans="1:2" x14ac:dyDescent="0.25">
      <c r="A67" s="4">
        <v>62</v>
      </c>
      <c r="B67" s="3" t="str">
        <f>"00013824"</f>
        <v>00013824</v>
      </c>
    </row>
    <row r="68" spans="1:2" x14ac:dyDescent="0.25">
      <c r="A68" s="4">
        <v>63</v>
      </c>
      <c r="B68" s="3" t="str">
        <f>"00014029"</f>
        <v>00014029</v>
      </c>
    </row>
    <row r="69" spans="1:2" x14ac:dyDescent="0.25">
      <c r="A69" s="4">
        <v>64</v>
      </c>
      <c r="B69" s="3" t="str">
        <f>"00014225"</f>
        <v>00014225</v>
      </c>
    </row>
    <row r="70" spans="1:2" x14ac:dyDescent="0.25">
      <c r="A70" s="4">
        <v>65</v>
      </c>
      <c r="B70" s="3" t="str">
        <f>"00015107"</f>
        <v>00015107</v>
      </c>
    </row>
    <row r="71" spans="1:2" x14ac:dyDescent="0.25">
      <c r="A71" s="4">
        <v>66</v>
      </c>
      <c r="B71" s="3" t="str">
        <f>"00015441"</f>
        <v>00015441</v>
      </c>
    </row>
    <row r="72" spans="1:2" x14ac:dyDescent="0.25">
      <c r="A72" s="4">
        <v>67</v>
      </c>
      <c r="B72" s="3" t="str">
        <f>"00015598"</f>
        <v>00015598</v>
      </c>
    </row>
    <row r="73" spans="1:2" x14ac:dyDescent="0.25">
      <c r="A73" s="4">
        <v>68</v>
      </c>
      <c r="B73" s="3" t="str">
        <f>"00015644"</f>
        <v>00015644</v>
      </c>
    </row>
    <row r="74" spans="1:2" x14ac:dyDescent="0.25">
      <c r="A74" s="4">
        <v>69</v>
      </c>
      <c r="B74" s="3" t="str">
        <f>"00015741"</f>
        <v>00015741</v>
      </c>
    </row>
    <row r="75" spans="1:2" x14ac:dyDescent="0.25">
      <c r="A75" s="4">
        <v>70</v>
      </c>
      <c r="B75" s="3" t="str">
        <f>"00015750"</f>
        <v>00015750</v>
      </c>
    </row>
    <row r="76" spans="1:2" x14ac:dyDescent="0.25">
      <c r="A76" s="4">
        <v>71</v>
      </c>
      <c r="B76" s="3" t="str">
        <f>"00015915"</f>
        <v>00015915</v>
      </c>
    </row>
    <row r="77" spans="1:2" x14ac:dyDescent="0.25">
      <c r="A77" s="4">
        <v>72</v>
      </c>
      <c r="B77" s="3" t="str">
        <f>"00016003"</f>
        <v>00016003</v>
      </c>
    </row>
    <row r="78" spans="1:2" x14ac:dyDescent="0.25">
      <c r="A78" s="4">
        <v>73</v>
      </c>
      <c r="B78" s="3" t="str">
        <f>"00016106"</f>
        <v>00016106</v>
      </c>
    </row>
    <row r="79" spans="1:2" x14ac:dyDescent="0.25">
      <c r="A79" s="4">
        <v>74</v>
      </c>
      <c r="B79" s="3" t="str">
        <f>"00016108"</f>
        <v>00016108</v>
      </c>
    </row>
    <row r="80" spans="1:2" x14ac:dyDescent="0.25">
      <c r="A80" s="4">
        <v>75</v>
      </c>
      <c r="B80" s="3" t="str">
        <f>"00016111"</f>
        <v>00016111</v>
      </c>
    </row>
    <row r="81" spans="1:2" x14ac:dyDescent="0.25">
      <c r="A81" s="4">
        <v>76</v>
      </c>
      <c r="B81" s="3" t="str">
        <f>"00016113"</f>
        <v>00016113</v>
      </c>
    </row>
    <row r="82" spans="1:2" x14ac:dyDescent="0.25">
      <c r="A82" s="4">
        <v>77</v>
      </c>
      <c r="B82" s="3" t="str">
        <f>"00016114"</f>
        <v>00016114</v>
      </c>
    </row>
    <row r="83" spans="1:2" x14ac:dyDescent="0.25">
      <c r="A83" s="4">
        <v>78</v>
      </c>
      <c r="B83" s="3" t="str">
        <f>"00016149"</f>
        <v>00016149</v>
      </c>
    </row>
    <row r="84" spans="1:2" x14ac:dyDescent="0.25">
      <c r="A84" s="4">
        <v>79</v>
      </c>
      <c r="B84" s="3" t="str">
        <f>"00016202"</f>
        <v>00016202</v>
      </c>
    </row>
    <row r="85" spans="1:2" x14ac:dyDescent="0.25">
      <c r="A85" s="4">
        <v>80</v>
      </c>
      <c r="B85" s="3" t="str">
        <f>"00016281"</f>
        <v>00016281</v>
      </c>
    </row>
    <row r="86" spans="1:2" x14ac:dyDescent="0.25">
      <c r="A86" s="4">
        <v>81</v>
      </c>
      <c r="B86" s="3" t="str">
        <f>"00016343"</f>
        <v>00016343</v>
      </c>
    </row>
    <row r="87" spans="1:2" x14ac:dyDescent="0.25">
      <c r="A87" s="4">
        <v>82</v>
      </c>
      <c r="B87" s="3" t="str">
        <f>"00016396"</f>
        <v>00016396</v>
      </c>
    </row>
    <row r="88" spans="1:2" x14ac:dyDescent="0.25">
      <c r="A88" s="4">
        <v>83</v>
      </c>
      <c r="B88" s="3" t="str">
        <f>"00016418"</f>
        <v>00016418</v>
      </c>
    </row>
    <row r="89" spans="1:2" x14ac:dyDescent="0.25">
      <c r="A89" s="4">
        <v>84</v>
      </c>
      <c r="B89" s="3" t="str">
        <f>"00016432"</f>
        <v>00016432</v>
      </c>
    </row>
    <row r="90" spans="1:2" x14ac:dyDescent="0.25">
      <c r="A90" s="4">
        <v>85</v>
      </c>
      <c r="B90" s="3" t="str">
        <f>"00016469"</f>
        <v>00016469</v>
      </c>
    </row>
    <row r="91" spans="1:2" x14ac:dyDescent="0.25">
      <c r="A91" s="4">
        <v>86</v>
      </c>
      <c r="B91" s="3" t="str">
        <f>"00016477"</f>
        <v>00016477</v>
      </c>
    </row>
    <row r="92" spans="1:2" x14ac:dyDescent="0.25">
      <c r="A92" s="4">
        <v>87</v>
      </c>
      <c r="B92" s="3" t="str">
        <f>"00016496"</f>
        <v>00016496</v>
      </c>
    </row>
    <row r="93" spans="1:2" x14ac:dyDescent="0.25">
      <c r="A93" s="4">
        <v>88</v>
      </c>
      <c r="B93" s="3" t="str">
        <f>"00016511"</f>
        <v>00016511</v>
      </c>
    </row>
    <row r="94" spans="1:2" x14ac:dyDescent="0.25">
      <c r="A94" s="4">
        <v>89</v>
      </c>
      <c r="B94" s="3" t="str">
        <f>"00016527"</f>
        <v>00016527</v>
      </c>
    </row>
    <row r="95" spans="1:2" x14ac:dyDescent="0.25">
      <c r="A95" s="4">
        <v>90</v>
      </c>
      <c r="B95" s="3" t="str">
        <f>"00016545"</f>
        <v>00016545</v>
      </c>
    </row>
    <row r="96" spans="1:2" x14ac:dyDescent="0.25">
      <c r="A96" s="4">
        <v>91</v>
      </c>
      <c r="B96" s="3" t="str">
        <f>"00016596"</f>
        <v>00016596</v>
      </c>
    </row>
    <row r="97" spans="1:2" x14ac:dyDescent="0.25">
      <c r="A97" s="4">
        <v>92</v>
      </c>
      <c r="B97" s="3" t="str">
        <f>"00016630"</f>
        <v>00016630</v>
      </c>
    </row>
    <row r="98" spans="1:2" x14ac:dyDescent="0.25">
      <c r="A98" s="4">
        <v>93</v>
      </c>
      <c r="B98" s="3" t="str">
        <f>"00016633"</f>
        <v>00016633</v>
      </c>
    </row>
    <row r="99" spans="1:2" x14ac:dyDescent="0.25">
      <c r="A99" s="4">
        <v>94</v>
      </c>
      <c r="B99" s="3" t="str">
        <f>"00016658"</f>
        <v>00016658</v>
      </c>
    </row>
    <row r="100" spans="1:2" x14ac:dyDescent="0.25">
      <c r="A100" s="4">
        <v>95</v>
      </c>
      <c r="B100" s="3" t="str">
        <f>"00016674"</f>
        <v>00016674</v>
      </c>
    </row>
    <row r="101" spans="1:2" x14ac:dyDescent="0.25">
      <c r="A101" s="4">
        <v>96</v>
      </c>
      <c r="B101" s="3" t="str">
        <f>"00016747"</f>
        <v>00016747</v>
      </c>
    </row>
    <row r="102" spans="1:2" x14ac:dyDescent="0.25">
      <c r="A102" s="4">
        <v>97</v>
      </c>
      <c r="B102" s="3" t="str">
        <f>"00016834"</f>
        <v>00016834</v>
      </c>
    </row>
    <row r="103" spans="1:2" x14ac:dyDescent="0.25">
      <c r="A103" s="4">
        <v>98</v>
      </c>
      <c r="B103" s="3" t="str">
        <f>"00016837"</f>
        <v>00016837</v>
      </c>
    </row>
    <row r="104" spans="1:2" x14ac:dyDescent="0.25">
      <c r="A104" s="4">
        <v>99</v>
      </c>
      <c r="B104" s="3" t="str">
        <f>"00016846"</f>
        <v>00016846</v>
      </c>
    </row>
    <row r="105" spans="1:2" x14ac:dyDescent="0.25">
      <c r="A105" s="4">
        <v>100</v>
      </c>
      <c r="B105" s="3" t="str">
        <f>"00016853"</f>
        <v>00016853</v>
      </c>
    </row>
    <row r="106" spans="1:2" x14ac:dyDescent="0.25">
      <c r="A106" s="4">
        <v>101</v>
      </c>
      <c r="B106" s="3" t="str">
        <f>"00016854"</f>
        <v>00016854</v>
      </c>
    </row>
    <row r="107" spans="1:2" x14ac:dyDescent="0.25">
      <c r="A107" s="4">
        <v>102</v>
      </c>
      <c r="B107" s="3" t="str">
        <f>"00016895"</f>
        <v>00016895</v>
      </c>
    </row>
    <row r="108" spans="1:2" x14ac:dyDescent="0.25">
      <c r="A108" s="4">
        <v>103</v>
      </c>
      <c r="B108" s="3" t="str">
        <f>"00016903"</f>
        <v>00016903</v>
      </c>
    </row>
    <row r="109" spans="1:2" x14ac:dyDescent="0.25">
      <c r="A109" s="4">
        <v>104</v>
      </c>
      <c r="B109" s="3" t="str">
        <f>"00016985"</f>
        <v>00016985</v>
      </c>
    </row>
    <row r="110" spans="1:2" x14ac:dyDescent="0.25">
      <c r="A110" s="4">
        <v>105</v>
      </c>
      <c r="B110" s="3" t="str">
        <f>"00017014"</f>
        <v>00017014</v>
      </c>
    </row>
    <row r="111" spans="1:2" x14ac:dyDescent="0.25">
      <c r="A111" s="4">
        <v>106</v>
      </c>
      <c r="B111" s="3" t="str">
        <f>"00017043"</f>
        <v>00017043</v>
      </c>
    </row>
    <row r="112" spans="1:2" x14ac:dyDescent="0.25">
      <c r="A112" s="4">
        <v>107</v>
      </c>
      <c r="B112" s="3" t="str">
        <f>"00017067"</f>
        <v>00017067</v>
      </c>
    </row>
    <row r="113" spans="1:2" x14ac:dyDescent="0.25">
      <c r="A113" s="4">
        <v>108</v>
      </c>
      <c r="B113" s="3" t="str">
        <f>"00017083"</f>
        <v>00017083</v>
      </c>
    </row>
    <row r="114" spans="1:2" x14ac:dyDescent="0.25">
      <c r="A114" s="4">
        <v>109</v>
      </c>
      <c r="B114" s="3" t="str">
        <f>"00017254"</f>
        <v>00017254</v>
      </c>
    </row>
    <row r="115" spans="1:2" x14ac:dyDescent="0.25">
      <c r="A115" s="4">
        <v>110</v>
      </c>
      <c r="B115" s="3" t="str">
        <f>"00017255"</f>
        <v>00017255</v>
      </c>
    </row>
    <row r="116" spans="1:2" x14ac:dyDescent="0.25">
      <c r="A116" s="4">
        <v>111</v>
      </c>
      <c r="B116" s="3" t="str">
        <f>"00017292"</f>
        <v>00017292</v>
      </c>
    </row>
    <row r="117" spans="1:2" x14ac:dyDescent="0.25">
      <c r="A117" s="4">
        <v>112</v>
      </c>
      <c r="B117" s="3" t="str">
        <f>"00017319"</f>
        <v>00017319</v>
      </c>
    </row>
    <row r="118" spans="1:2" x14ac:dyDescent="0.25">
      <c r="A118" s="4">
        <v>113</v>
      </c>
      <c r="B118" s="3" t="str">
        <f>"00017336"</f>
        <v>00017336</v>
      </c>
    </row>
    <row r="119" spans="1:2" x14ac:dyDescent="0.25">
      <c r="A119" s="4">
        <v>114</v>
      </c>
      <c r="B119" s="3" t="str">
        <f>"00017398"</f>
        <v>00017398</v>
      </c>
    </row>
    <row r="120" spans="1:2" x14ac:dyDescent="0.25">
      <c r="A120" s="4">
        <v>115</v>
      </c>
      <c r="B120" s="3" t="str">
        <f>"00017409"</f>
        <v>00017409</v>
      </c>
    </row>
    <row r="121" spans="1:2" x14ac:dyDescent="0.25">
      <c r="A121" s="4">
        <v>116</v>
      </c>
      <c r="B121" s="3" t="str">
        <f>"00017494"</f>
        <v>00017494</v>
      </c>
    </row>
    <row r="122" spans="1:2" x14ac:dyDescent="0.25">
      <c r="A122" s="4">
        <v>117</v>
      </c>
      <c r="B122" s="3" t="str">
        <f>"00017498"</f>
        <v>00017498</v>
      </c>
    </row>
    <row r="123" spans="1:2" x14ac:dyDescent="0.25">
      <c r="A123" s="4">
        <v>118</v>
      </c>
      <c r="B123" s="3" t="str">
        <f>"00017509"</f>
        <v>00017509</v>
      </c>
    </row>
    <row r="124" spans="1:2" x14ac:dyDescent="0.25">
      <c r="A124" s="4">
        <v>119</v>
      </c>
      <c r="B124" s="3" t="str">
        <f>"00017540"</f>
        <v>00017540</v>
      </c>
    </row>
    <row r="125" spans="1:2" x14ac:dyDescent="0.25">
      <c r="A125" s="4">
        <v>120</v>
      </c>
      <c r="B125" s="3" t="str">
        <f>"00017575"</f>
        <v>00017575</v>
      </c>
    </row>
    <row r="126" spans="1:2" x14ac:dyDescent="0.25">
      <c r="A126" s="4">
        <v>121</v>
      </c>
      <c r="B126" s="3" t="str">
        <f>"00017640"</f>
        <v>00017640</v>
      </c>
    </row>
    <row r="127" spans="1:2" x14ac:dyDescent="0.25">
      <c r="A127" s="4">
        <v>122</v>
      </c>
      <c r="B127" s="3" t="str">
        <f>"00017647"</f>
        <v>00017647</v>
      </c>
    </row>
    <row r="128" spans="1:2" x14ac:dyDescent="0.25">
      <c r="A128" s="4">
        <v>123</v>
      </c>
      <c r="B128" s="3" t="str">
        <f>"00017661"</f>
        <v>00017661</v>
      </c>
    </row>
    <row r="129" spans="1:2" x14ac:dyDescent="0.25">
      <c r="A129" s="4">
        <v>124</v>
      </c>
      <c r="B129" s="3" t="str">
        <f>"00017905"</f>
        <v>00017905</v>
      </c>
    </row>
    <row r="130" spans="1:2" x14ac:dyDescent="0.25">
      <c r="A130" s="4">
        <v>125</v>
      </c>
      <c r="B130" s="3" t="str">
        <f>"00017945"</f>
        <v>00017945</v>
      </c>
    </row>
    <row r="131" spans="1:2" x14ac:dyDescent="0.25">
      <c r="A131" s="4">
        <v>126</v>
      </c>
      <c r="B131" s="3" t="str">
        <f>"00017981"</f>
        <v>00017981</v>
      </c>
    </row>
    <row r="132" spans="1:2" x14ac:dyDescent="0.25">
      <c r="A132" s="4">
        <v>127</v>
      </c>
      <c r="B132" s="3" t="str">
        <f>"00018095"</f>
        <v>00018095</v>
      </c>
    </row>
    <row r="133" spans="1:2" x14ac:dyDescent="0.25">
      <c r="A133" s="4">
        <v>128</v>
      </c>
      <c r="B133" s="3" t="str">
        <f>"00018120"</f>
        <v>00018120</v>
      </c>
    </row>
    <row r="134" spans="1:2" x14ac:dyDescent="0.25">
      <c r="A134" s="4">
        <v>129</v>
      </c>
      <c r="B134" s="3" t="str">
        <f>"00018243"</f>
        <v>00018243</v>
      </c>
    </row>
    <row r="135" spans="1:2" x14ac:dyDescent="0.25">
      <c r="A135" s="4">
        <v>130</v>
      </c>
      <c r="B135" s="3" t="str">
        <f>"00018256"</f>
        <v>00018256</v>
      </c>
    </row>
    <row r="136" spans="1:2" x14ac:dyDescent="0.25">
      <c r="A136" s="4">
        <v>131</v>
      </c>
      <c r="B136" s="3" t="str">
        <f>"00018298"</f>
        <v>00018298</v>
      </c>
    </row>
    <row r="137" spans="1:2" x14ac:dyDescent="0.25">
      <c r="A137" s="4">
        <v>132</v>
      </c>
      <c r="B137" s="3" t="str">
        <f>"00018304"</f>
        <v>00018304</v>
      </c>
    </row>
    <row r="138" spans="1:2" x14ac:dyDescent="0.25">
      <c r="A138" s="4">
        <v>133</v>
      </c>
      <c r="B138" s="3" t="str">
        <f>"00018380"</f>
        <v>00018380</v>
      </c>
    </row>
    <row r="139" spans="1:2" x14ac:dyDescent="0.25">
      <c r="A139" s="4">
        <v>134</v>
      </c>
      <c r="B139" s="3" t="str">
        <f>"00018414"</f>
        <v>00018414</v>
      </c>
    </row>
    <row r="140" spans="1:2" x14ac:dyDescent="0.25">
      <c r="A140" s="4">
        <v>135</v>
      </c>
      <c r="B140" s="3" t="str">
        <f>"00018455"</f>
        <v>00018455</v>
      </c>
    </row>
    <row r="141" spans="1:2" x14ac:dyDescent="0.25">
      <c r="A141" s="4">
        <v>136</v>
      </c>
      <c r="B141" s="3" t="str">
        <f>"00018468"</f>
        <v>00018468</v>
      </c>
    </row>
    <row r="142" spans="1:2" x14ac:dyDescent="0.25">
      <c r="A142" s="4">
        <v>137</v>
      </c>
      <c r="B142" s="3" t="str">
        <f>"00018476"</f>
        <v>00018476</v>
      </c>
    </row>
    <row r="143" spans="1:2" x14ac:dyDescent="0.25">
      <c r="A143" s="4">
        <v>138</v>
      </c>
      <c r="B143" s="3" t="str">
        <f>"00018551"</f>
        <v>00018551</v>
      </c>
    </row>
    <row r="144" spans="1:2" x14ac:dyDescent="0.25">
      <c r="A144" s="4">
        <v>139</v>
      </c>
      <c r="B144" s="3" t="str">
        <f>"00018832"</f>
        <v>00018832</v>
      </c>
    </row>
    <row r="145" spans="1:2" x14ac:dyDescent="0.25">
      <c r="A145" s="4">
        <v>140</v>
      </c>
      <c r="B145" s="3" t="str">
        <f>"00018859"</f>
        <v>00018859</v>
      </c>
    </row>
    <row r="146" spans="1:2" x14ac:dyDescent="0.25">
      <c r="A146" s="4">
        <v>141</v>
      </c>
      <c r="B146" s="3" t="str">
        <f>"00019047"</f>
        <v>00019047</v>
      </c>
    </row>
    <row r="147" spans="1:2" x14ac:dyDescent="0.25">
      <c r="A147" s="4">
        <v>142</v>
      </c>
      <c r="B147" s="3" t="str">
        <f>"00019052"</f>
        <v>00019052</v>
      </c>
    </row>
    <row r="148" spans="1:2" x14ac:dyDescent="0.25">
      <c r="A148" s="4">
        <v>143</v>
      </c>
      <c r="B148" s="3" t="str">
        <f>"00019064"</f>
        <v>00019064</v>
      </c>
    </row>
    <row r="149" spans="1:2" x14ac:dyDescent="0.25">
      <c r="A149" s="4">
        <v>144</v>
      </c>
      <c r="B149" s="3" t="str">
        <f>"00019097"</f>
        <v>00019097</v>
      </c>
    </row>
    <row r="150" spans="1:2" x14ac:dyDescent="0.25">
      <c r="A150" s="4">
        <v>145</v>
      </c>
      <c r="B150" s="3" t="str">
        <f>"00019159"</f>
        <v>00019159</v>
      </c>
    </row>
    <row r="151" spans="1:2" x14ac:dyDescent="0.25">
      <c r="A151" s="4">
        <v>146</v>
      </c>
      <c r="B151" s="3" t="str">
        <f>"00019218"</f>
        <v>00019218</v>
      </c>
    </row>
    <row r="152" spans="1:2" x14ac:dyDescent="0.25">
      <c r="A152" s="4">
        <v>147</v>
      </c>
      <c r="B152" s="3" t="str">
        <f>"00019265"</f>
        <v>00019265</v>
      </c>
    </row>
    <row r="153" spans="1:2" x14ac:dyDescent="0.25">
      <c r="A153" s="4">
        <v>148</v>
      </c>
      <c r="B153" s="3" t="str">
        <f>"00019279"</f>
        <v>00019279</v>
      </c>
    </row>
    <row r="154" spans="1:2" x14ac:dyDescent="0.25">
      <c r="A154" s="4">
        <v>149</v>
      </c>
      <c r="B154" s="3" t="str">
        <f>"00019315"</f>
        <v>00019315</v>
      </c>
    </row>
    <row r="155" spans="1:2" x14ac:dyDescent="0.25">
      <c r="A155" s="4">
        <v>150</v>
      </c>
      <c r="B155" s="3" t="str">
        <f>"00019412"</f>
        <v>00019412</v>
      </c>
    </row>
    <row r="156" spans="1:2" x14ac:dyDescent="0.25">
      <c r="A156" s="4">
        <v>151</v>
      </c>
      <c r="B156" s="3" t="str">
        <f>"00019432"</f>
        <v>00019432</v>
      </c>
    </row>
    <row r="157" spans="1:2" x14ac:dyDescent="0.25">
      <c r="A157" s="4">
        <v>152</v>
      </c>
      <c r="B157" s="3" t="str">
        <f>"00019462"</f>
        <v>00019462</v>
      </c>
    </row>
    <row r="158" spans="1:2" x14ac:dyDescent="0.25">
      <c r="A158" s="4">
        <v>153</v>
      </c>
      <c r="B158" s="3" t="str">
        <f>"00019524"</f>
        <v>00019524</v>
      </c>
    </row>
    <row r="159" spans="1:2" x14ac:dyDescent="0.25">
      <c r="A159" s="4">
        <v>154</v>
      </c>
      <c r="B159" s="3" t="str">
        <f>"00019544"</f>
        <v>00019544</v>
      </c>
    </row>
    <row r="160" spans="1:2" x14ac:dyDescent="0.25">
      <c r="A160" s="4">
        <v>155</v>
      </c>
      <c r="B160" s="3" t="str">
        <f>"00019546"</f>
        <v>00019546</v>
      </c>
    </row>
    <row r="161" spans="1:2" x14ac:dyDescent="0.25">
      <c r="A161" s="4">
        <v>156</v>
      </c>
      <c r="B161" s="3" t="str">
        <f>"00019548"</f>
        <v>00019548</v>
      </c>
    </row>
    <row r="162" spans="1:2" x14ac:dyDescent="0.25">
      <c r="A162" s="4">
        <v>157</v>
      </c>
      <c r="B162" s="3" t="str">
        <f>"00019568"</f>
        <v>00019568</v>
      </c>
    </row>
    <row r="163" spans="1:2" x14ac:dyDescent="0.25">
      <c r="A163" s="4">
        <v>158</v>
      </c>
      <c r="B163" s="3" t="str">
        <f>"00019578"</f>
        <v>00019578</v>
      </c>
    </row>
    <row r="164" spans="1:2" x14ac:dyDescent="0.25">
      <c r="A164" s="4">
        <v>159</v>
      </c>
      <c r="B164" s="3" t="str">
        <f>"00019606"</f>
        <v>00019606</v>
      </c>
    </row>
    <row r="165" spans="1:2" x14ac:dyDescent="0.25">
      <c r="A165" s="4">
        <v>160</v>
      </c>
      <c r="B165" s="3" t="str">
        <f>"00019762"</f>
        <v>00019762</v>
      </c>
    </row>
    <row r="166" spans="1:2" x14ac:dyDescent="0.25">
      <c r="A166" s="4">
        <v>161</v>
      </c>
      <c r="B166" s="3" t="str">
        <f>"00019778"</f>
        <v>00019778</v>
      </c>
    </row>
    <row r="167" spans="1:2" x14ac:dyDescent="0.25">
      <c r="A167" s="4">
        <v>162</v>
      </c>
      <c r="B167" s="3" t="str">
        <f>"00019911"</f>
        <v>00019911</v>
      </c>
    </row>
    <row r="168" spans="1:2" x14ac:dyDescent="0.25">
      <c r="A168" s="4">
        <v>163</v>
      </c>
      <c r="B168" s="3" t="str">
        <f>"00019961"</f>
        <v>00019961</v>
      </c>
    </row>
    <row r="169" spans="1:2" x14ac:dyDescent="0.25">
      <c r="A169" s="4">
        <v>164</v>
      </c>
      <c r="B169" s="3" t="str">
        <f>"00019984"</f>
        <v>00019984</v>
      </c>
    </row>
    <row r="170" spans="1:2" x14ac:dyDescent="0.25">
      <c r="A170" s="4">
        <v>165</v>
      </c>
      <c r="B170" s="3" t="str">
        <f>"00020004"</f>
        <v>00020004</v>
      </c>
    </row>
    <row r="171" spans="1:2" x14ac:dyDescent="0.25">
      <c r="A171" s="4">
        <v>166</v>
      </c>
      <c r="B171" s="3" t="str">
        <f>"00020012"</f>
        <v>00020012</v>
      </c>
    </row>
    <row r="172" spans="1:2" x14ac:dyDescent="0.25">
      <c r="A172" s="4">
        <v>167</v>
      </c>
      <c r="B172" s="3" t="str">
        <f>"00020028"</f>
        <v>00020028</v>
      </c>
    </row>
    <row r="173" spans="1:2" x14ac:dyDescent="0.25">
      <c r="A173" s="4">
        <v>168</v>
      </c>
      <c r="B173" s="3" t="str">
        <f>"00020080"</f>
        <v>00020080</v>
      </c>
    </row>
    <row r="174" spans="1:2" x14ac:dyDescent="0.25">
      <c r="A174" s="4">
        <v>169</v>
      </c>
      <c r="B174" s="3" t="str">
        <f>"00020135"</f>
        <v>00020135</v>
      </c>
    </row>
    <row r="175" spans="1:2" x14ac:dyDescent="0.25">
      <c r="A175" s="4">
        <v>170</v>
      </c>
      <c r="B175" s="3" t="str">
        <f>"00020165"</f>
        <v>00020165</v>
      </c>
    </row>
    <row r="176" spans="1:2" x14ac:dyDescent="0.25">
      <c r="A176" s="4">
        <v>171</v>
      </c>
      <c r="B176" s="3" t="str">
        <f>"00020203"</f>
        <v>00020203</v>
      </c>
    </row>
    <row r="177" spans="1:2" x14ac:dyDescent="0.25">
      <c r="A177" s="4">
        <v>172</v>
      </c>
      <c r="B177" s="3" t="str">
        <f>"00020225"</f>
        <v>00020225</v>
      </c>
    </row>
    <row r="178" spans="1:2" x14ac:dyDescent="0.25">
      <c r="A178" s="4">
        <v>173</v>
      </c>
      <c r="B178" s="3" t="str">
        <f>"00020230"</f>
        <v>00020230</v>
      </c>
    </row>
    <row r="179" spans="1:2" x14ac:dyDescent="0.25">
      <c r="A179" s="4">
        <v>174</v>
      </c>
      <c r="B179" s="3" t="str">
        <f>"00020289"</f>
        <v>00020289</v>
      </c>
    </row>
    <row r="180" spans="1:2" x14ac:dyDescent="0.25">
      <c r="A180" s="4">
        <v>175</v>
      </c>
      <c r="B180" s="3" t="str">
        <f>"00020292"</f>
        <v>00020292</v>
      </c>
    </row>
    <row r="181" spans="1:2" x14ac:dyDescent="0.25">
      <c r="A181" s="4">
        <v>176</v>
      </c>
      <c r="B181" s="3" t="str">
        <f>"00020315"</f>
        <v>00020315</v>
      </c>
    </row>
    <row r="182" spans="1:2" x14ac:dyDescent="0.25">
      <c r="A182" s="4">
        <v>177</v>
      </c>
      <c r="B182" s="3" t="str">
        <f>"00020369"</f>
        <v>00020369</v>
      </c>
    </row>
    <row r="183" spans="1:2" x14ac:dyDescent="0.25">
      <c r="A183" s="4">
        <v>178</v>
      </c>
      <c r="B183" s="3" t="str">
        <f>"00020435"</f>
        <v>00020435</v>
      </c>
    </row>
    <row r="184" spans="1:2" x14ac:dyDescent="0.25">
      <c r="A184" s="4">
        <v>179</v>
      </c>
      <c r="B184" s="3" t="str">
        <f>"00020445"</f>
        <v>00020445</v>
      </c>
    </row>
    <row r="185" spans="1:2" x14ac:dyDescent="0.25">
      <c r="A185" s="4">
        <v>180</v>
      </c>
      <c r="B185" s="3" t="str">
        <f>"00020456"</f>
        <v>00020456</v>
      </c>
    </row>
    <row r="186" spans="1:2" x14ac:dyDescent="0.25">
      <c r="A186" s="4">
        <v>181</v>
      </c>
      <c r="B186" s="3" t="str">
        <f>"00020461"</f>
        <v>00020461</v>
      </c>
    </row>
    <row r="187" spans="1:2" x14ac:dyDescent="0.25">
      <c r="A187" s="4">
        <v>182</v>
      </c>
      <c r="B187" s="3" t="str">
        <f>"00020479"</f>
        <v>00020479</v>
      </c>
    </row>
    <row r="188" spans="1:2" x14ac:dyDescent="0.25">
      <c r="A188" s="4">
        <v>183</v>
      </c>
      <c r="B188" s="3" t="str">
        <f>"00020543"</f>
        <v>00020543</v>
      </c>
    </row>
    <row r="189" spans="1:2" x14ac:dyDescent="0.25">
      <c r="A189" s="4">
        <v>184</v>
      </c>
      <c r="B189" s="3" t="str">
        <f>"00020561"</f>
        <v>00020561</v>
      </c>
    </row>
    <row r="190" spans="1:2" x14ac:dyDescent="0.25">
      <c r="A190" s="4">
        <v>185</v>
      </c>
      <c r="B190" s="3" t="str">
        <f>"00020562"</f>
        <v>00020562</v>
      </c>
    </row>
    <row r="191" spans="1:2" x14ac:dyDescent="0.25">
      <c r="A191" s="4">
        <v>186</v>
      </c>
      <c r="B191" s="3" t="str">
        <f>"00020609"</f>
        <v>00020609</v>
      </c>
    </row>
    <row r="192" spans="1:2" x14ac:dyDescent="0.25">
      <c r="A192" s="4">
        <v>187</v>
      </c>
      <c r="B192" s="3" t="str">
        <f>"00020617"</f>
        <v>00020617</v>
      </c>
    </row>
    <row r="193" spans="1:2" x14ac:dyDescent="0.25">
      <c r="A193" s="4">
        <v>188</v>
      </c>
      <c r="B193" s="3" t="str">
        <f>"00020697"</f>
        <v>00020697</v>
      </c>
    </row>
    <row r="194" spans="1:2" x14ac:dyDescent="0.25">
      <c r="A194" s="4">
        <v>189</v>
      </c>
      <c r="B194" s="3" t="str">
        <f>"00020829"</f>
        <v>00020829</v>
      </c>
    </row>
    <row r="195" spans="1:2" x14ac:dyDescent="0.25">
      <c r="A195" s="4">
        <v>190</v>
      </c>
      <c r="B195" s="3" t="str">
        <f>"00020873"</f>
        <v>00020873</v>
      </c>
    </row>
    <row r="196" spans="1:2" x14ac:dyDescent="0.25">
      <c r="A196" s="4">
        <v>191</v>
      </c>
      <c r="B196" s="3" t="str">
        <f>"00020875"</f>
        <v>00020875</v>
      </c>
    </row>
    <row r="197" spans="1:2" x14ac:dyDescent="0.25">
      <c r="A197" s="4">
        <v>192</v>
      </c>
      <c r="B197" s="3" t="str">
        <f>"00020884"</f>
        <v>00020884</v>
      </c>
    </row>
    <row r="198" spans="1:2" x14ac:dyDescent="0.25">
      <c r="A198" s="4">
        <v>193</v>
      </c>
      <c r="B198" s="3" t="str">
        <f>"00020967"</f>
        <v>00020967</v>
      </c>
    </row>
    <row r="199" spans="1:2" x14ac:dyDescent="0.25">
      <c r="A199" s="4">
        <v>194</v>
      </c>
      <c r="B199" s="3" t="str">
        <f>"00020990"</f>
        <v>00020990</v>
      </c>
    </row>
    <row r="200" spans="1:2" x14ac:dyDescent="0.25">
      <c r="A200" s="4">
        <v>195</v>
      </c>
      <c r="B200" s="3" t="str">
        <f>"00021050"</f>
        <v>00021050</v>
      </c>
    </row>
    <row r="201" spans="1:2" x14ac:dyDescent="0.25">
      <c r="A201" s="4">
        <v>196</v>
      </c>
      <c r="B201" s="3" t="str">
        <f>"00021056"</f>
        <v>00021056</v>
      </c>
    </row>
    <row r="202" spans="1:2" x14ac:dyDescent="0.25">
      <c r="A202" s="4">
        <v>197</v>
      </c>
      <c r="B202" s="3" t="str">
        <f>"00021128"</f>
        <v>00021128</v>
      </c>
    </row>
    <row r="203" spans="1:2" x14ac:dyDescent="0.25">
      <c r="A203" s="4">
        <v>198</v>
      </c>
      <c r="B203" s="3" t="str">
        <f>"00021160"</f>
        <v>00021160</v>
      </c>
    </row>
    <row r="204" spans="1:2" x14ac:dyDescent="0.25">
      <c r="A204" s="4">
        <v>199</v>
      </c>
      <c r="B204" s="3" t="str">
        <f>"00021164"</f>
        <v>00021164</v>
      </c>
    </row>
    <row r="205" spans="1:2" x14ac:dyDescent="0.25">
      <c r="A205" s="4">
        <v>200</v>
      </c>
      <c r="B205" s="3" t="str">
        <f>"00021238"</f>
        <v>00021238</v>
      </c>
    </row>
    <row r="206" spans="1:2" x14ac:dyDescent="0.25">
      <c r="A206" s="4">
        <v>201</v>
      </c>
      <c r="B206" s="3" t="str">
        <f>"00021283"</f>
        <v>00021283</v>
      </c>
    </row>
    <row r="207" spans="1:2" x14ac:dyDescent="0.25">
      <c r="A207" s="4">
        <v>202</v>
      </c>
      <c r="B207" s="3" t="str">
        <f>"00021310"</f>
        <v>00021310</v>
      </c>
    </row>
    <row r="208" spans="1:2" x14ac:dyDescent="0.25">
      <c r="A208" s="4">
        <v>203</v>
      </c>
      <c r="B208" s="3" t="str">
        <f>"00021340"</f>
        <v>00021340</v>
      </c>
    </row>
    <row r="209" spans="1:2" x14ac:dyDescent="0.25">
      <c r="A209" s="4">
        <v>204</v>
      </c>
      <c r="B209" s="3" t="str">
        <f>"00021343"</f>
        <v>00021343</v>
      </c>
    </row>
    <row r="210" spans="1:2" x14ac:dyDescent="0.25">
      <c r="A210" s="4">
        <v>205</v>
      </c>
      <c r="B210" s="3" t="str">
        <f>"00021370"</f>
        <v>00021370</v>
      </c>
    </row>
    <row r="211" spans="1:2" x14ac:dyDescent="0.25">
      <c r="A211" s="4">
        <v>206</v>
      </c>
      <c r="B211" s="3" t="str">
        <f>"00021376"</f>
        <v>00021376</v>
      </c>
    </row>
    <row r="212" spans="1:2" x14ac:dyDescent="0.25">
      <c r="A212" s="4">
        <v>207</v>
      </c>
      <c r="B212" s="3" t="str">
        <f>"00021387"</f>
        <v>00021387</v>
      </c>
    </row>
    <row r="213" spans="1:2" x14ac:dyDescent="0.25">
      <c r="A213" s="4">
        <v>208</v>
      </c>
      <c r="B213" s="3" t="str">
        <f>"00021431"</f>
        <v>00021431</v>
      </c>
    </row>
    <row r="214" spans="1:2" x14ac:dyDescent="0.25">
      <c r="A214" s="4">
        <v>209</v>
      </c>
      <c r="B214" s="3" t="str">
        <f>"00021435"</f>
        <v>00021435</v>
      </c>
    </row>
    <row r="215" spans="1:2" x14ac:dyDescent="0.25">
      <c r="A215" s="4">
        <v>210</v>
      </c>
      <c r="B215" s="3" t="str">
        <f>"00021452"</f>
        <v>00021452</v>
      </c>
    </row>
    <row r="216" spans="1:2" x14ac:dyDescent="0.25">
      <c r="A216" s="4">
        <v>211</v>
      </c>
      <c r="B216" s="3" t="str">
        <f>"00021474"</f>
        <v>00021474</v>
      </c>
    </row>
    <row r="217" spans="1:2" x14ac:dyDescent="0.25">
      <c r="A217" s="4">
        <v>212</v>
      </c>
      <c r="B217" s="3" t="str">
        <f>"00021667"</f>
        <v>00021667</v>
      </c>
    </row>
    <row r="218" spans="1:2" x14ac:dyDescent="0.25">
      <c r="A218" s="4">
        <v>213</v>
      </c>
      <c r="B218" s="3" t="str">
        <f>"00021674"</f>
        <v>00021674</v>
      </c>
    </row>
    <row r="219" spans="1:2" x14ac:dyDescent="0.25">
      <c r="A219" s="4">
        <v>214</v>
      </c>
      <c r="B219" s="3" t="str">
        <f>"00021684"</f>
        <v>00021684</v>
      </c>
    </row>
    <row r="220" spans="1:2" x14ac:dyDescent="0.25">
      <c r="A220" s="4">
        <v>215</v>
      </c>
      <c r="B220" s="3" t="str">
        <f>"00021711"</f>
        <v>00021711</v>
      </c>
    </row>
    <row r="221" spans="1:2" x14ac:dyDescent="0.25">
      <c r="A221" s="4">
        <v>216</v>
      </c>
      <c r="B221" s="3" t="str">
        <f>"00021717"</f>
        <v>00021717</v>
      </c>
    </row>
    <row r="222" spans="1:2" x14ac:dyDescent="0.25">
      <c r="A222" s="4">
        <v>217</v>
      </c>
      <c r="B222" s="3" t="str">
        <f>"00021780"</f>
        <v>00021780</v>
      </c>
    </row>
    <row r="223" spans="1:2" x14ac:dyDescent="0.25">
      <c r="A223" s="4">
        <v>218</v>
      </c>
      <c r="B223" s="3" t="str">
        <f>"00021835"</f>
        <v>00021835</v>
      </c>
    </row>
    <row r="224" spans="1:2" x14ac:dyDescent="0.25">
      <c r="A224" s="4">
        <v>219</v>
      </c>
      <c r="B224" s="3" t="str">
        <f>"00021849"</f>
        <v>00021849</v>
      </c>
    </row>
    <row r="225" spans="1:2" x14ac:dyDescent="0.25">
      <c r="A225" s="4">
        <v>220</v>
      </c>
      <c r="B225" s="3" t="str">
        <f>"00021875"</f>
        <v>00021875</v>
      </c>
    </row>
    <row r="226" spans="1:2" x14ac:dyDescent="0.25">
      <c r="A226" s="4">
        <v>221</v>
      </c>
      <c r="B226" s="3" t="str">
        <f>"00021889"</f>
        <v>00021889</v>
      </c>
    </row>
    <row r="227" spans="1:2" x14ac:dyDescent="0.25">
      <c r="A227" s="4">
        <v>222</v>
      </c>
      <c r="B227" s="3" t="str">
        <f>"00021915"</f>
        <v>00021915</v>
      </c>
    </row>
    <row r="228" spans="1:2" x14ac:dyDescent="0.25">
      <c r="A228" s="4">
        <v>223</v>
      </c>
      <c r="B228" s="3" t="str">
        <f>"00021922"</f>
        <v>00021922</v>
      </c>
    </row>
    <row r="229" spans="1:2" x14ac:dyDescent="0.25">
      <c r="A229" s="4">
        <v>224</v>
      </c>
      <c r="B229" s="3" t="str">
        <f>"00021961"</f>
        <v>00021961</v>
      </c>
    </row>
    <row r="230" spans="1:2" x14ac:dyDescent="0.25">
      <c r="A230" s="4">
        <v>225</v>
      </c>
      <c r="B230" s="3" t="str">
        <f>"00021991"</f>
        <v>00021991</v>
      </c>
    </row>
    <row r="231" spans="1:2" x14ac:dyDescent="0.25">
      <c r="A231" s="4">
        <v>226</v>
      </c>
      <c r="B231" s="3" t="str">
        <f>"00022016"</f>
        <v>00022016</v>
      </c>
    </row>
    <row r="232" spans="1:2" x14ac:dyDescent="0.25">
      <c r="A232" s="4">
        <v>227</v>
      </c>
      <c r="B232" s="3" t="str">
        <f>"00022044"</f>
        <v>00022044</v>
      </c>
    </row>
    <row r="233" spans="1:2" x14ac:dyDescent="0.25">
      <c r="A233" s="4">
        <v>228</v>
      </c>
      <c r="B233" s="3" t="str">
        <f>"00022051"</f>
        <v>00022051</v>
      </c>
    </row>
    <row r="234" spans="1:2" x14ac:dyDescent="0.25">
      <c r="A234" s="4">
        <v>229</v>
      </c>
      <c r="B234" s="3" t="str">
        <f>"00022076"</f>
        <v>00022076</v>
      </c>
    </row>
    <row r="235" spans="1:2" x14ac:dyDescent="0.25">
      <c r="A235" s="4">
        <v>230</v>
      </c>
      <c r="B235" s="3" t="str">
        <f>"00022077"</f>
        <v>00022077</v>
      </c>
    </row>
    <row r="236" spans="1:2" x14ac:dyDescent="0.25">
      <c r="A236" s="4">
        <v>231</v>
      </c>
      <c r="B236" s="3" t="str">
        <f>"00022090"</f>
        <v>00022090</v>
      </c>
    </row>
    <row r="237" spans="1:2" x14ac:dyDescent="0.25">
      <c r="A237" s="4">
        <v>232</v>
      </c>
      <c r="B237" s="3" t="str">
        <f>"00022143"</f>
        <v>00022143</v>
      </c>
    </row>
    <row r="238" spans="1:2" x14ac:dyDescent="0.25">
      <c r="A238" s="4">
        <v>233</v>
      </c>
      <c r="B238" s="3" t="str">
        <f>"00022161"</f>
        <v>00022161</v>
      </c>
    </row>
    <row r="239" spans="1:2" x14ac:dyDescent="0.25">
      <c r="A239" s="4">
        <v>234</v>
      </c>
      <c r="B239" s="3" t="str">
        <f>"00022165"</f>
        <v>00022165</v>
      </c>
    </row>
    <row r="240" spans="1:2" x14ac:dyDescent="0.25">
      <c r="A240" s="4">
        <v>235</v>
      </c>
      <c r="B240" s="3" t="str">
        <f>"00022177"</f>
        <v>00022177</v>
      </c>
    </row>
    <row r="241" spans="1:2" x14ac:dyDescent="0.25">
      <c r="A241" s="4">
        <v>236</v>
      </c>
      <c r="B241" s="3" t="str">
        <f>"00022192"</f>
        <v>00022192</v>
      </c>
    </row>
    <row r="242" spans="1:2" x14ac:dyDescent="0.25">
      <c r="A242" s="4">
        <v>237</v>
      </c>
      <c r="B242" s="3" t="str">
        <f>"00022208"</f>
        <v>00022208</v>
      </c>
    </row>
    <row r="243" spans="1:2" x14ac:dyDescent="0.25">
      <c r="A243" s="4">
        <v>238</v>
      </c>
      <c r="B243" s="3" t="str">
        <f>"00022219"</f>
        <v>00022219</v>
      </c>
    </row>
    <row r="244" spans="1:2" x14ac:dyDescent="0.25">
      <c r="A244" s="4">
        <v>239</v>
      </c>
      <c r="B244" s="3" t="str">
        <f>"00022232"</f>
        <v>00022232</v>
      </c>
    </row>
    <row r="245" spans="1:2" x14ac:dyDescent="0.25">
      <c r="A245" s="4">
        <v>240</v>
      </c>
      <c r="B245" s="3" t="str">
        <f>"00022284"</f>
        <v>00022284</v>
      </c>
    </row>
    <row r="246" spans="1:2" x14ac:dyDescent="0.25">
      <c r="A246" s="4">
        <v>241</v>
      </c>
      <c r="B246" s="3" t="str">
        <f>"00022295"</f>
        <v>00022295</v>
      </c>
    </row>
    <row r="247" spans="1:2" x14ac:dyDescent="0.25">
      <c r="A247" s="4">
        <v>242</v>
      </c>
      <c r="B247" s="3" t="str">
        <f>"00022323"</f>
        <v>00022323</v>
      </c>
    </row>
    <row r="248" spans="1:2" x14ac:dyDescent="0.25">
      <c r="A248" s="4">
        <v>243</v>
      </c>
      <c r="B248" s="3" t="str">
        <f>"00022372"</f>
        <v>00022372</v>
      </c>
    </row>
    <row r="249" spans="1:2" x14ac:dyDescent="0.25">
      <c r="A249" s="4">
        <v>244</v>
      </c>
      <c r="B249" s="3" t="str">
        <f>"00022439"</f>
        <v>00022439</v>
      </c>
    </row>
    <row r="250" spans="1:2" x14ac:dyDescent="0.25">
      <c r="A250" s="4">
        <v>245</v>
      </c>
      <c r="B250" s="3" t="str">
        <f>"00022455"</f>
        <v>00022455</v>
      </c>
    </row>
    <row r="251" spans="1:2" x14ac:dyDescent="0.25">
      <c r="A251" s="4">
        <v>246</v>
      </c>
      <c r="B251" s="3" t="str">
        <f>"00022463"</f>
        <v>00022463</v>
      </c>
    </row>
    <row r="252" spans="1:2" x14ac:dyDescent="0.25">
      <c r="A252" s="4">
        <v>247</v>
      </c>
      <c r="B252" s="3" t="str">
        <f>"00022524"</f>
        <v>00022524</v>
      </c>
    </row>
    <row r="253" spans="1:2" x14ac:dyDescent="0.25">
      <c r="A253" s="4">
        <v>248</v>
      </c>
      <c r="B253" s="3" t="str">
        <f>"00022608"</f>
        <v>00022608</v>
      </c>
    </row>
    <row r="254" spans="1:2" x14ac:dyDescent="0.25">
      <c r="A254" s="4">
        <v>249</v>
      </c>
      <c r="B254" s="3" t="str">
        <f>"00022651"</f>
        <v>00022651</v>
      </c>
    </row>
    <row r="255" spans="1:2" x14ac:dyDescent="0.25">
      <c r="A255" s="4">
        <v>250</v>
      </c>
      <c r="B255" s="3" t="str">
        <f>"00022658"</f>
        <v>00022658</v>
      </c>
    </row>
    <row r="256" spans="1:2" x14ac:dyDescent="0.25">
      <c r="A256" s="4">
        <v>251</v>
      </c>
      <c r="B256" s="3" t="str">
        <f>"00022662"</f>
        <v>00022662</v>
      </c>
    </row>
    <row r="257" spans="1:2" x14ac:dyDescent="0.25">
      <c r="A257" s="4">
        <v>252</v>
      </c>
      <c r="B257" s="3" t="str">
        <f>"00022669"</f>
        <v>00022669</v>
      </c>
    </row>
    <row r="258" spans="1:2" x14ac:dyDescent="0.25">
      <c r="A258" s="4">
        <v>253</v>
      </c>
      <c r="B258" s="3" t="str">
        <f>"00022688"</f>
        <v>00022688</v>
      </c>
    </row>
    <row r="259" spans="1:2" x14ac:dyDescent="0.25">
      <c r="A259" s="4">
        <v>254</v>
      </c>
      <c r="B259" s="3" t="str">
        <f>"00022781"</f>
        <v>00022781</v>
      </c>
    </row>
    <row r="260" spans="1:2" x14ac:dyDescent="0.25">
      <c r="A260" s="4">
        <v>255</v>
      </c>
      <c r="B260" s="3" t="str">
        <f>"00022783"</f>
        <v>00022783</v>
      </c>
    </row>
    <row r="261" spans="1:2" x14ac:dyDescent="0.25">
      <c r="A261" s="4">
        <v>256</v>
      </c>
      <c r="B261" s="3" t="str">
        <f>"00022802"</f>
        <v>00022802</v>
      </c>
    </row>
    <row r="262" spans="1:2" x14ac:dyDescent="0.25">
      <c r="A262" s="4">
        <v>257</v>
      </c>
      <c r="B262" s="3" t="str">
        <f>"00022804"</f>
        <v>00022804</v>
      </c>
    </row>
    <row r="263" spans="1:2" x14ac:dyDescent="0.25">
      <c r="A263" s="4">
        <v>258</v>
      </c>
      <c r="B263" s="3" t="str">
        <f>"00022812"</f>
        <v>00022812</v>
      </c>
    </row>
    <row r="264" spans="1:2" x14ac:dyDescent="0.25">
      <c r="A264" s="4">
        <v>259</v>
      </c>
      <c r="B264" s="3" t="str">
        <f>"00022817"</f>
        <v>00022817</v>
      </c>
    </row>
    <row r="265" spans="1:2" x14ac:dyDescent="0.25">
      <c r="A265" s="4">
        <v>260</v>
      </c>
      <c r="B265" s="3" t="str">
        <f>"00022834"</f>
        <v>00022834</v>
      </c>
    </row>
    <row r="266" spans="1:2" x14ac:dyDescent="0.25">
      <c r="A266" s="4">
        <v>261</v>
      </c>
      <c r="B266" s="3" t="str">
        <f>"00022902"</f>
        <v>00022902</v>
      </c>
    </row>
    <row r="267" spans="1:2" x14ac:dyDescent="0.25">
      <c r="A267" s="4">
        <v>262</v>
      </c>
      <c r="B267" s="3" t="str">
        <f>"00022984"</f>
        <v>00022984</v>
      </c>
    </row>
    <row r="268" spans="1:2" x14ac:dyDescent="0.25">
      <c r="A268" s="4">
        <v>263</v>
      </c>
      <c r="B268" s="3" t="str">
        <f>"00023037"</f>
        <v>00023037</v>
      </c>
    </row>
    <row r="269" spans="1:2" x14ac:dyDescent="0.25">
      <c r="A269" s="4">
        <v>264</v>
      </c>
      <c r="B269" s="3" t="str">
        <f>"00023059"</f>
        <v>00023059</v>
      </c>
    </row>
    <row r="270" spans="1:2" x14ac:dyDescent="0.25">
      <c r="A270" s="4">
        <v>265</v>
      </c>
      <c r="B270" s="3" t="str">
        <f>"00023092"</f>
        <v>00023092</v>
      </c>
    </row>
    <row r="271" spans="1:2" x14ac:dyDescent="0.25">
      <c r="A271" s="4">
        <v>266</v>
      </c>
      <c r="B271" s="3" t="str">
        <f>"00023109"</f>
        <v>00023109</v>
      </c>
    </row>
    <row r="272" spans="1:2" x14ac:dyDescent="0.25">
      <c r="A272" s="4">
        <v>267</v>
      </c>
      <c r="B272" s="3" t="str">
        <f>"00023110"</f>
        <v>00023110</v>
      </c>
    </row>
    <row r="273" spans="1:2" x14ac:dyDescent="0.25">
      <c r="A273" s="4">
        <v>268</v>
      </c>
      <c r="B273" s="3" t="str">
        <f>"00023117"</f>
        <v>00023117</v>
      </c>
    </row>
    <row r="274" spans="1:2" x14ac:dyDescent="0.25">
      <c r="A274" s="4">
        <v>269</v>
      </c>
      <c r="B274" s="3" t="str">
        <f>"00023118"</f>
        <v>00023118</v>
      </c>
    </row>
    <row r="275" spans="1:2" x14ac:dyDescent="0.25">
      <c r="A275" s="4">
        <v>270</v>
      </c>
      <c r="B275" s="3" t="str">
        <f>"00023138"</f>
        <v>00023138</v>
      </c>
    </row>
    <row r="276" spans="1:2" x14ac:dyDescent="0.25">
      <c r="A276" s="4">
        <v>271</v>
      </c>
      <c r="B276" s="3" t="str">
        <f>"00023187"</f>
        <v>00023187</v>
      </c>
    </row>
    <row r="277" spans="1:2" x14ac:dyDescent="0.25">
      <c r="A277" s="4">
        <v>272</v>
      </c>
      <c r="B277" s="3" t="str">
        <f>"00023288"</f>
        <v>00023288</v>
      </c>
    </row>
    <row r="278" spans="1:2" x14ac:dyDescent="0.25">
      <c r="A278" s="4">
        <v>273</v>
      </c>
      <c r="B278" s="3" t="str">
        <f>"00023322"</f>
        <v>00023322</v>
      </c>
    </row>
    <row r="279" spans="1:2" x14ac:dyDescent="0.25">
      <c r="A279" s="4">
        <v>274</v>
      </c>
      <c r="B279" s="3" t="str">
        <f>"00023341"</f>
        <v>00023341</v>
      </c>
    </row>
    <row r="280" spans="1:2" x14ac:dyDescent="0.25">
      <c r="A280" s="4">
        <v>275</v>
      </c>
      <c r="B280" s="3" t="str">
        <f>"00023351"</f>
        <v>00023351</v>
      </c>
    </row>
    <row r="281" spans="1:2" x14ac:dyDescent="0.25">
      <c r="A281" s="4">
        <v>276</v>
      </c>
      <c r="B281" s="3" t="str">
        <f>"00023369"</f>
        <v>00023369</v>
      </c>
    </row>
    <row r="282" spans="1:2" x14ac:dyDescent="0.25">
      <c r="A282" s="4">
        <v>277</v>
      </c>
      <c r="B282" s="3" t="str">
        <f>"00023415"</f>
        <v>00023415</v>
      </c>
    </row>
    <row r="283" spans="1:2" x14ac:dyDescent="0.25">
      <c r="A283" s="4">
        <v>278</v>
      </c>
      <c r="B283" s="3" t="str">
        <f>"00023420"</f>
        <v>00023420</v>
      </c>
    </row>
    <row r="284" spans="1:2" x14ac:dyDescent="0.25">
      <c r="A284" s="4">
        <v>279</v>
      </c>
      <c r="B284" s="3" t="str">
        <f>"00023429"</f>
        <v>00023429</v>
      </c>
    </row>
    <row r="285" spans="1:2" x14ac:dyDescent="0.25">
      <c r="A285" s="4">
        <v>280</v>
      </c>
      <c r="B285" s="3" t="str">
        <f>"00023443"</f>
        <v>00023443</v>
      </c>
    </row>
    <row r="286" spans="1:2" x14ac:dyDescent="0.25">
      <c r="A286" s="4">
        <v>281</v>
      </c>
      <c r="B286" s="3" t="str">
        <f>"00023447"</f>
        <v>00023447</v>
      </c>
    </row>
    <row r="287" spans="1:2" x14ac:dyDescent="0.25">
      <c r="A287" s="4">
        <v>282</v>
      </c>
      <c r="B287" s="3" t="str">
        <f>"00023454"</f>
        <v>00023454</v>
      </c>
    </row>
    <row r="288" spans="1:2" x14ac:dyDescent="0.25">
      <c r="A288" s="4">
        <v>283</v>
      </c>
      <c r="B288" s="3" t="str">
        <f>"00023457"</f>
        <v>00023457</v>
      </c>
    </row>
    <row r="289" spans="1:2" x14ac:dyDescent="0.25">
      <c r="A289" s="4">
        <v>284</v>
      </c>
      <c r="B289" s="3" t="str">
        <f>"00023551"</f>
        <v>00023551</v>
      </c>
    </row>
    <row r="290" spans="1:2" x14ac:dyDescent="0.25">
      <c r="A290" s="4">
        <v>285</v>
      </c>
      <c r="B290" s="3" t="str">
        <f>"00023553"</f>
        <v>00023553</v>
      </c>
    </row>
    <row r="291" spans="1:2" x14ac:dyDescent="0.25">
      <c r="A291" s="4">
        <v>286</v>
      </c>
      <c r="B291" s="3" t="str">
        <f>"00023648"</f>
        <v>00023648</v>
      </c>
    </row>
    <row r="292" spans="1:2" x14ac:dyDescent="0.25">
      <c r="A292" s="4">
        <v>287</v>
      </c>
      <c r="B292" s="3" t="str">
        <f>"00023662"</f>
        <v>00023662</v>
      </c>
    </row>
    <row r="293" spans="1:2" x14ac:dyDescent="0.25">
      <c r="A293" s="4">
        <v>288</v>
      </c>
      <c r="B293" s="3" t="str">
        <f>"00023665"</f>
        <v>00023665</v>
      </c>
    </row>
    <row r="294" spans="1:2" x14ac:dyDescent="0.25">
      <c r="A294" s="4">
        <v>289</v>
      </c>
      <c r="B294" s="3" t="str">
        <f>"00023671"</f>
        <v>00023671</v>
      </c>
    </row>
    <row r="295" spans="1:2" x14ac:dyDescent="0.25">
      <c r="A295" s="4">
        <v>290</v>
      </c>
      <c r="B295" s="3" t="str">
        <f>"00023679"</f>
        <v>00023679</v>
      </c>
    </row>
    <row r="296" spans="1:2" x14ac:dyDescent="0.25">
      <c r="A296" s="4">
        <v>291</v>
      </c>
      <c r="B296" s="3" t="str">
        <f>"00023695"</f>
        <v>00023695</v>
      </c>
    </row>
    <row r="297" spans="1:2" x14ac:dyDescent="0.25">
      <c r="A297" s="4">
        <v>292</v>
      </c>
      <c r="B297" s="3" t="str">
        <f>"00023726"</f>
        <v>00023726</v>
      </c>
    </row>
    <row r="298" spans="1:2" x14ac:dyDescent="0.25">
      <c r="A298" s="4">
        <v>293</v>
      </c>
      <c r="B298" s="3" t="str">
        <f>"00023738"</f>
        <v>00023738</v>
      </c>
    </row>
    <row r="299" spans="1:2" x14ac:dyDescent="0.25">
      <c r="A299" s="4">
        <v>294</v>
      </c>
      <c r="B299" s="3" t="str">
        <f>"00023745"</f>
        <v>00023745</v>
      </c>
    </row>
    <row r="300" spans="1:2" x14ac:dyDescent="0.25">
      <c r="A300" s="4">
        <v>295</v>
      </c>
      <c r="B300" s="3" t="str">
        <f>"00023791"</f>
        <v>00023791</v>
      </c>
    </row>
    <row r="301" spans="1:2" x14ac:dyDescent="0.25">
      <c r="A301" s="4">
        <v>296</v>
      </c>
      <c r="B301" s="3" t="str">
        <f>"00023799"</f>
        <v>00023799</v>
      </c>
    </row>
    <row r="302" spans="1:2" x14ac:dyDescent="0.25">
      <c r="A302" s="4">
        <v>297</v>
      </c>
      <c r="B302" s="3" t="str">
        <f>"00023801"</f>
        <v>00023801</v>
      </c>
    </row>
    <row r="303" spans="1:2" x14ac:dyDescent="0.25">
      <c r="A303" s="4">
        <v>298</v>
      </c>
      <c r="B303" s="3" t="str">
        <f>"00023803"</f>
        <v>00023803</v>
      </c>
    </row>
    <row r="304" spans="1:2" x14ac:dyDescent="0.25">
      <c r="A304" s="4">
        <v>299</v>
      </c>
      <c r="B304" s="3" t="str">
        <f>"00023893"</f>
        <v>00023893</v>
      </c>
    </row>
    <row r="305" spans="1:2" x14ac:dyDescent="0.25">
      <c r="A305" s="4">
        <v>300</v>
      </c>
      <c r="B305" s="3" t="str">
        <f>"00023900"</f>
        <v>00023900</v>
      </c>
    </row>
    <row r="306" spans="1:2" x14ac:dyDescent="0.25">
      <c r="A306" s="4">
        <v>301</v>
      </c>
      <c r="B306" s="3" t="str">
        <f>"00023924"</f>
        <v>00023924</v>
      </c>
    </row>
    <row r="307" spans="1:2" x14ac:dyDescent="0.25">
      <c r="A307" s="4">
        <v>302</v>
      </c>
      <c r="B307" s="3" t="str">
        <f>"00023946"</f>
        <v>00023946</v>
      </c>
    </row>
    <row r="308" spans="1:2" x14ac:dyDescent="0.25">
      <c r="A308" s="4">
        <v>303</v>
      </c>
      <c r="B308" s="3" t="str">
        <f>"00023954"</f>
        <v>00023954</v>
      </c>
    </row>
    <row r="309" spans="1:2" x14ac:dyDescent="0.25">
      <c r="A309" s="4">
        <v>304</v>
      </c>
      <c r="B309" s="3" t="str">
        <f>"00023956"</f>
        <v>00023956</v>
      </c>
    </row>
    <row r="310" spans="1:2" x14ac:dyDescent="0.25">
      <c r="A310" s="4">
        <v>305</v>
      </c>
      <c r="B310" s="3" t="str">
        <f>"00023982"</f>
        <v>00023982</v>
      </c>
    </row>
    <row r="311" spans="1:2" x14ac:dyDescent="0.25">
      <c r="A311" s="4">
        <v>306</v>
      </c>
      <c r="B311" s="3" t="str">
        <f>"00024093"</f>
        <v>00024093</v>
      </c>
    </row>
    <row r="312" spans="1:2" x14ac:dyDescent="0.25">
      <c r="A312" s="4">
        <v>307</v>
      </c>
      <c r="B312" s="3" t="str">
        <f>"00024096"</f>
        <v>00024096</v>
      </c>
    </row>
    <row r="313" spans="1:2" x14ac:dyDescent="0.25">
      <c r="A313" s="4">
        <v>308</v>
      </c>
      <c r="B313" s="3" t="str">
        <f>"00024161"</f>
        <v>00024161</v>
      </c>
    </row>
    <row r="314" spans="1:2" x14ac:dyDescent="0.25">
      <c r="A314" s="4">
        <v>309</v>
      </c>
      <c r="B314" s="3" t="str">
        <f>"00024169"</f>
        <v>00024169</v>
      </c>
    </row>
    <row r="315" spans="1:2" x14ac:dyDescent="0.25">
      <c r="A315" s="4">
        <v>310</v>
      </c>
      <c r="B315" s="3" t="str">
        <f>"00024181"</f>
        <v>00024181</v>
      </c>
    </row>
    <row r="316" spans="1:2" x14ac:dyDescent="0.25">
      <c r="A316" s="4">
        <v>311</v>
      </c>
      <c r="B316" s="3" t="str">
        <f>"00024183"</f>
        <v>00024183</v>
      </c>
    </row>
    <row r="317" spans="1:2" x14ac:dyDescent="0.25">
      <c r="A317" s="4">
        <v>312</v>
      </c>
      <c r="B317" s="3" t="str">
        <f>"00024184"</f>
        <v>00024184</v>
      </c>
    </row>
    <row r="318" spans="1:2" x14ac:dyDescent="0.25">
      <c r="A318" s="4">
        <v>313</v>
      </c>
      <c r="B318" s="3" t="str">
        <f>"00024308"</f>
        <v>00024308</v>
      </c>
    </row>
    <row r="319" spans="1:2" x14ac:dyDescent="0.25">
      <c r="A319" s="4">
        <v>314</v>
      </c>
      <c r="B319" s="3" t="str">
        <f>"00024310"</f>
        <v>00024310</v>
      </c>
    </row>
    <row r="320" spans="1:2" x14ac:dyDescent="0.25">
      <c r="A320" s="4">
        <v>315</v>
      </c>
      <c r="B320" s="3" t="str">
        <f>"00024318"</f>
        <v>00024318</v>
      </c>
    </row>
    <row r="321" spans="1:2" x14ac:dyDescent="0.25">
      <c r="A321" s="4">
        <v>316</v>
      </c>
      <c r="B321" s="3" t="str">
        <f>"00024333"</f>
        <v>00024333</v>
      </c>
    </row>
    <row r="322" spans="1:2" x14ac:dyDescent="0.25">
      <c r="A322" s="4">
        <v>317</v>
      </c>
      <c r="B322" s="3" t="str">
        <f>"00024358"</f>
        <v>00024358</v>
      </c>
    </row>
    <row r="323" spans="1:2" x14ac:dyDescent="0.25">
      <c r="A323" s="4">
        <v>318</v>
      </c>
      <c r="B323" s="3" t="str">
        <f>"00024367"</f>
        <v>00024367</v>
      </c>
    </row>
    <row r="324" spans="1:2" x14ac:dyDescent="0.25">
      <c r="A324" s="4">
        <v>319</v>
      </c>
      <c r="B324" s="3" t="str">
        <f>"00024379"</f>
        <v>00024379</v>
      </c>
    </row>
    <row r="325" spans="1:2" x14ac:dyDescent="0.25">
      <c r="A325" s="4">
        <v>320</v>
      </c>
      <c r="B325" s="3" t="str">
        <f>"00024434"</f>
        <v>00024434</v>
      </c>
    </row>
    <row r="326" spans="1:2" x14ac:dyDescent="0.25">
      <c r="A326" s="4">
        <v>321</v>
      </c>
      <c r="B326" s="3" t="str">
        <f>"00024455"</f>
        <v>00024455</v>
      </c>
    </row>
    <row r="327" spans="1:2" x14ac:dyDescent="0.25">
      <c r="A327" s="4">
        <v>322</v>
      </c>
      <c r="B327" s="3" t="str">
        <f>"00024463"</f>
        <v>00024463</v>
      </c>
    </row>
    <row r="328" spans="1:2" x14ac:dyDescent="0.25">
      <c r="A328" s="4">
        <v>323</v>
      </c>
      <c r="B328" s="3" t="str">
        <f>"00024492"</f>
        <v>00024492</v>
      </c>
    </row>
    <row r="329" spans="1:2" x14ac:dyDescent="0.25">
      <c r="A329" s="4">
        <v>324</v>
      </c>
      <c r="B329" s="3" t="str">
        <f>"00024509"</f>
        <v>00024509</v>
      </c>
    </row>
    <row r="330" spans="1:2" x14ac:dyDescent="0.25">
      <c r="A330" s="4">
        <v>325</v>
      </c>
      <c r="B330" s="3" t="str">
        <f>"00024533"</f>
        <v>00024533</v>
      </c>
    </row>
    <row r="331" spans="1:2" x14ac:dyDescent="0.25">
      <c r="A331" s="4">
        <v>326</v>
      </c>
      <c r="B331" s="3" t="str">
        <f>"00024584"</f>
        <v>00024584</v>
      </c>
    </row>
    <row r="332" spans="1:2" x14ac:dyDescent="0.25">
      <c r="A332" s="4">
        <v>327</v>
      </c>
      <c r="B332" s="3" t="str">
        <f>"00024666"</f>
        <v>00024666</v>
      </c>
    </row>
    <row r="333" spans="1:2" x14ac:dyDescent="0.25">
      <c r="A333" s="4">
        <v>328</v>
      </c>
      <c r="B333" s="3" t="str">
        <f>"00024681"</f>
        <v>00024681</v>
      </c>
    </row>
    <row r="334" spans="1:2" x14ac:dyDescent="0.25">
      <c r="A334" s="4">
        <v>329</v>
      </c>
      <c r="B334" s="3" t="str">
        <f>"00024682"</f>
        <v>00024682</v>
      </c>
    </row>
    <row r="335" spans="1:2" x14ac:dyDescent="0.25">
      <c r="A335" s="4">
        <v>330</v>
      </c>
      <c r="B335" s="3" t="str">
        <f>"00024687"</f>
        <v>00024687</v>
      </c>
    </row>
    <row r="336" spans="1:2" x14ac:dyDescent="0.25">
      <c r="A336" s="4">
        <v>331</v>
      </c>
      <c r="B336" s="3" t="str">
        <f>"00024704"</f>
        <v>00024704</v>
      </c>
    </row>
    <row r="337" spans="1:2" x14ac:dyDescent="0.25">
      <c r="A337" s="4">
        <v>332</v>
      </c>
      <c r="B337" s="3" t="str">
        <f>"00024714"</f>
        <v>00024714</v>
      </c>
    </row>
    <row r="338" spans="1:2" x14ac:dyDescent="0.25">
      <c r="A338" s="4">
        <v>333</v>
      </c>
      <c r="B338" s="3" t="str">
        <f>"00024715"</f>
        <v>00024715</v>
      </c>
    </row>
    <row r="339" spans="1:2" x14ac:dyDescent="0.25">
      <c r="A339" s="4">
        <v>334</v>
      </c>
      <c r="B339" s="3" t="str">
        <f>"00024731"</f>
        <v>00024731</v>
      </c>
    </row>
    <row r="340" spans="1:2" x14ac:dyDescent="0.25">
      <c r="A340" s="4">
        <v>335</v>
      </c>
      <c r="B340" s="3" t="str">
        <f>"00024757"</f>
        <v>00024757</v>
      </c>
    </row>
    <row r="341" spans="1:2" x14ac:dyDescent="0.25">
      <c r="A341" s="4">
        <v>336</v>
      </c>
      <c r="B341" s="3" t="str">
        <f>"00024772"</f>
        <v>00024772</v>
      </c>
    </row>
    <row r="342" spans="1:2" x14ac:dyDescent="0.25">
      <c r="A342" s="4">
        <v>337</v>
      </c>
      <c r="B342" s="3" t="str">
        <f>"00024780"</f>
        <v>00024780</v>
      </c>
    </row>
    <row r="343" spans="1:2" x14ac:dyDescent="0.25">
      <c r="A343" s="4">
        <v>338</v>
      </c>
      <c r="B343" s="3" t="str">
        <f>"00024797"</f>
        <v>00024797</v>
      </c>
    </row>
    <row r="344" spans="1:2" x14ac:dyDescent="0.25">
      <c r="A344" s="4">
        <v>339</v>
      </c>
      <c r="B344" s="3" t="str">
        <f>"00024806"</f>
        <v>00024806</v>
      </c>
    </row>
    <row r="345" spans="1:2" x14ac:dyDescent="0.25">
      <c r="A345" s="4">
        <v>340</v>
      </c>
      <c r="B345" s="3" t="str">
        <f>"00024828"</f>
        <v>00024828</v>
      </c>
    </row>
    <row r="346" spans="1:2" x14ac:dyDescent="0.25">
      <c r="A346" s="4">
        <v>341</v>
      </c>
      <c r="B346" s="3" t="str">
        <f>"00024868"</f>
        <v>00024868</v>
      </c>
    </row>
    <row r="347" spans="1:2" x14ac:dyDescent="0.25">
      <c r="A347" s="4">
        <v>342</v>
      </c>
      <c r="B347" s="3" t="str">
        <f>"00024910"</f>
        <v>00024910</v>
      </c>
    </row>
    <row r="348" spans="1:2" s="20" customFormat="1" x14ac:dyDescent="0.25">
      <c r="A348" s="4">
        <v>343</v>
      </c>
      <c r="B348" s="18" t="s">
        <v>10</v>
      </c>
    </row>
    <row r="349" spans="1:2" x14ac:dyDescent="0.25">
      <c r="A349" s="4">
        <v>344</v>
      </c>
      <c r="B349" s="3" t="str">
        <f>"00024935"</f>
        <v>00024935</v>
      </c>
    </row>
    <row r="350" spans="1:2" x14ac:dyDescent="0.25">
      <c r="A350" s="4">
        <v>345</v>
      </c>
      <c r="B350" s="3" t="str">
        <f>"00024960"</f>
        <v>00024960</v>
      </c>
    </row>
    <row r="351" spans="1:2" x14ac:dyDescent="0.25">
      <c r="A351" s="4">
        <v>346</v>
      </c>
      <c r="B351" s="3" t="str">
        <f>"00024974"</f>
        <v>00024974</v>
      </c>
    </row>
    <row r="352" spans="1:2" x14ac:dyDescent="0.25">
      <c r="A352" s="4">
        <v>347</v>
      </c>
      <c r="B352" s="3" t="str">
        <f>"00024977"</f>
        <v>00024977</v>
      </c>
    </row>
    <row r="353" spans="1:2" x14ac:dyDescent="0.25">
      <c r="A353" s="4">
        <v>348</v>
      </c>
      <c r="B353" s="3" t="str">
        <f>"00024997"</f>
        <v>00024997</v>
      </c>
    </row>
    <row r="354" spans="1:2" x14ac:dyDescent="0.25">
      <c r="A354" s="4">
        <v>349</v>
      </c>
      <c r="B354" s="3" t="str">
        <f>"00025094"</f>
        <v>00025094</v>
      </c>
    </row>
    <row r="355" spans="1:2" x14ac:dyDescent="0.25">
      <c r="A355" s="4">
        <v>350</v>
      </c>
      <c r="B355" s="3" t="str">
        <f>"00025131"</f>
        <v>00025131</v>
      </c>
    </row>
    <row r="356" spans="1:2" x14ac:dyDescent="0.25">
      <c r="A356" s="4">
        <v>351</v>
      </c>
      <c r="B356" s="3" t="str">
        <f>"00025149"</f>
        <v>00025149</v>
      </c>
    </row>
    <row r="357" spans="1:2" x14ac:dyDescent="0.25">
      <c r="A357" s="4">
        <v>352</v>
      </c>
      <c r="B357" s="3" t="str">
        <f>"00025150"</f>
        <v>00025150</v>
      </c>
    </row>
    <row r="358" spans="1:2" x14ac:dyDescent="0.25">
      <c r="A358" s="4">
        <v>353</v>
      </c>
      <c r="B358" s="3" t="str">
        <f>"00025197"</f>
        <v>00025197</v>
      </c>
    </row>
    <row r="359" spans="1:2" x14ac:dyDescent="0.25">
      <c r="A359" s="4">
        <v>354</v>
      </c>
      <c r="B359" s="3" t="str">
        <f>"00025221"</f>
        <v>00025221</v>
      </c>
    </row>
    <row r="360" spans="1:2" x14ac:dyDescent="0.25">
      <c r="A360" s="4">
        <v>355</v>
      </c>
      <c r="B360" s="3" t="str">
        <f>"00025255"</f>
        <v>00025255</v>
      </c>
    </row>
    <row r="361" spans="1:2" x14ac:dyDescent="0.25">
      <c r="A361" s="4">
        <v>356</v>
      </c>
      <c r="B361" s="3" t="str">
        <f>"00025351"</f>
        <v>00025351</v>
      </c>
    </row>
    <row r="362" spans="1:2" x14ac:dyDescent="0.25">
      <c r="A362" s="4">
        <v>357</v>
      </c>
      <c r="B362" s="3" t="str">
        <f>"00025358"</f>
        <v>00025358</v>
      </c>
    </row>
    <row r="363" spans="1:2" x14ac:dyDescent="0.25">
      <c r="A363" s="4">
        <v>358</v>
      </c>
      <c r="B363" s="3" t="str">
        <f>"00025533"</f>
        <v>00025533</v>
      </c>
    </row>
    <row r="364" spans="1:2" x14ac:dyDescent="0.25">
      <c r="A364" s="4">
        <v>359</v>
      </c>
      <c r="B364" s="3" t="str">
        <f>"00025542"</f>
        <v>00025542</v>
      </c>
    </row>
    <row r="365" spans="1:2" x14ac:dyDescent="0.25">
      <c r="A365" s="4">
        <v>360</v>
      </c>
      <c r="B365" s="3" t="str">
        <f>"00025545"</f>
        <v>00025545</v>
      </c>
    </row>
    <row r="366" spans="1:2" x14ac:dyDescent="0.25">
      <c r="A366" s="4">
        <v>361</v>
      </c>
      <c r="B366" s="3" t="str">
        <f>"00025551"</f>
        <v>00025551</v>
      </c>
    </row>
    <row r="367" spans="1:2" x14ac:dyDescent="0.25">
      <c r="A367" s="4">
        <v>362</v>
      </c>
      <c r="B367" s="3" t="str">
        <f>"00025558"</f>
        <v>00025558</v>
      </c>
    </row>
    <row r="368" spans="1:2" x14ac:dyDescent="0.25">
      <c r="A368" s="4">
        <v>363</v>
      </c>
      <c r="B368" s="3" t="str">
        <f>"00025572"</f>
        <v>00025572</v>
      </c>
    </row>
    <row r="369" spans="1:2" x14ac:dyDescent="0.25">
      <c r="A369" s="4">
        <v>364</v>
      </c>
      <c r="B369" s="3" t="str">
        <f>"00025607"</f>
        <v>00025607</v>
      </c>
    </row>
    <row r="370" spans="1:2" x14ac:dyDescent="0.25">
      <c r="A370" s="4">
        <v>365</v>
      </c>
      <c r="B370" s="3" t="str">
        <f>"00025639"</f>
        <v>00025639</v>
      </c>
    </row>
    <row r="371" spans="1:2" x14ac:dyDescent="0.25">
      <c r="A371" s="4">
        <v>366</v>
      </c>
      <c r="B371" s="3" t="str">
        <f>"00025757"</f>
        <v>00025757</v>
      </c>
    </row>
    <row r="372" spans="1:2" x14ac:dyDescent="0.25">
      <c r="A372" s="4">
        <v>367</v>
      </c>
      <c r="B372" s="3" t="str">
        <f>"00025777"</f>
        <v>00025777</v>
      </c>
    </row>
    <row r="373" spans="1:2" x14ac:dyDescent="0.25">
      <c r="A373" s="4">
        <v>368</v>
      </c>
      <c r="B373" s="3" t="str">
        <f>"00025792"</f>
        <v>00025792</v>
      </c>
    </row>
    <row r="374" spans="1:2" x14ac:dyDescent="0.25">
      <c r="A374" s="4">
        <v>369</v>
      </c>
      <c r="B374" s="3" t="str">
        <f>"00025823"</f>
        <v>00025823</v>
      </c>
    </row>
    <row r="375" spans="1:2" x14ac:dyDescent="0.25">
      <c r="A375" s="4">
        <v>370</v>
      </c>
      <c r="B375" s="3" t="str">
        <f>"00025890"</f>
        <v>00025890</v>
      </c>
    </row>
    <row r="376" spans="1:2" x14ac:dyDescent="0.25">
      <c r="A376" s="4">
        <v>371</v>
      </c>
      <c r="B376" s="3" t="str">
        <f>"00025925"</f>
        <v>00025925</v>
      </c>
    </row>
    <row r="377" spans="1:2" x14ac:dyDescent="0.25">
      <c r="A377" s="4">
        <v>372</v>
      </c>
      <c r="B377" s="3" t="str">
        <f>"00025958"</f>
        <v>00025958</v>
      </c>
    </row>
    <row r="378" spans="1:2" x14ac:dyDescent="0.25">
      <c r="A378" s="4">
        <v>373</v>
      </c>
      <c r="B378" s="3" t="str">
        <f>"00026061"</f>
        <v>00026061</v>
      </c>
    </row>
    <row r="379" spans="1:2" x14ac:dyDescent="0.25">
      <c r="A379" s="4">
        <v>374</v>
      </c>
      <c r="B379" s="3" t="str">
        <f>"00026111"</f>
        <v>00026111</v>
      </c>
    </row>
    <row r="380" spans="1:2" x14ac:dyDescent="0.25">
      <c r="A380" s="4">
        <v>375</v>
      </c>
      <c r="B380" s="3" t="str">
        <f>"00026189"</f>
        <v>00026189</v>
      </c>
    </row>
    <row r="381" spans="1:2" x14ac:dyDescent="0.25">
      <c r="A381" s="4">
        <v>376</v>
      </c>
      <c r="B381" s="3" t="str">
        <f>"00026220"</f>
        <v>00026220</v>
      </c>
    </row>
    <row r="382" spans="1:2" x14ac:dyDescent="0.25">
      <c r="A382" s="4">
        <v>377</v>
      </c>
      <c r="B382" s="3" t="str">
        <f>"00026228"</f>
        <v>00026228</v>
      </c>
    </row>
    <row r="383" spans="1:2" x14ac:dyDescent="0.25">
      <c r="A383" s="4">
        <v>378</v>
      </c>
      <c r="B383" s="3" t="str">
        <f>"00026240"</f>
        <v>00026240</v>
      </c>
    </row>
    <row r="384" spans="1:2" x14ac:dyDescent="0.25">
      <c r="A384" s="4">
        <v>379</v>
      </c>
      <c r="B384" s="3" t="str">
        <f>"00026273"</f>
        <v>00026273</v>
      </c>
    </row>
    <row r="385" spans="1:2" x14ac:dyDescent="0.25">
      <c r="A385" s="4">
        <v>380</v>
      </c>
      <c r="B385" s="3" t="str">
        <f>"00026338"</f>
        <v>00026338</v>
      </c>
    </row>
    <row r="386" spans="1:2" x14ac:dyDescent="0.25">
      <c r="A386" s="4">
        <v>381</v>
      </c>
      <c r="B386" s="3" t="str">
        <f>"00026498"</f>
        <v>00026498</v>
      </c>
    </row>
    <row r="387" spans="1:2" x14ac:dyDescent="0.25">
      <c r="A387" s="4">
        <v>382</v>
      </c>
      <c r="B387" s="3" t="str">
        <f>"00026549"</f>
        <v>00026549</v>
      </c>
    </row>
    <row r="388" spans="1:2" x14ac:dyDescent="0.25">
      <c r="A388" s="4">
        <v>383</v>
      </c>
      <c r="B388" s="3" t="str">
        <f>"00026588"</f>
        <v>00026588</v>
      </c>
    </row>
    <row r="389" spans="1:2" x14ac:dyDescent="0.25">
      <c r="A389" s="4">
        <v>384</v>
      </c>
      <c r="B389" s="3" t="str">
        <f>"00026589"</f>
        <v>00026589</v>
      </c>
    </row>
    <row r="390" spans="1:2" x14ac:dyDescent="0.25">
      <c r="A390" s="4">
        <v>385</v>
      </c>
      <c r="B390" s="3" t="str">
        <f>"00026614"</f>
        <v>00026614</v>
      </c>
    </row>
    <row r="391" spans="1:2" x14ac:dyDescent="0.25">
      <c r="A391" s="4">
        <v>386</v>
      </c>
      <c r="B391" s="3" t="str">
        <f>"00026630"</f>
        <v>00026630</v>
      </c>
    </row>
    <row r="392" spans="1:2" x14ac:dyDescent="0.25">
      <c r="A392" s="4">
        <v>387</v>
      </c>
      <c r="B392" s="3" t="str">
        <f>"00026646"</f>
        <v>00026646</v>
      </c>
    </row>
    <row r="393" spans="1:2" x14ac:dyDescent="0.25">
      <c r="A393" s="4">
        <v>388</v>
      </c>
      <c r="B393" s="3" t="str">
        <f>"00026650"</f>
        <v>00026650</v>
      </c>
    </row>
    <row r="394" spans="1:2" x14ac:dyDescent="0.25">
      <c r="A394" s="4">
        <v>389</v>
      </c>
      <c r="B394" s="3" t="str">
        <f>"00026696"</f>
        <v>00026696</v>
      </c>
    </row>
    <row r="395" spans="1:2" x14ac:dyDescent="0.25">
      <c r="A395" s="4">
        <v>390</v>
      </c>
      <c r="B395" s="3" t="str">
        <f>"00026730"</f>
        <v>00026730</v>
      </c>
    </row>
    <row r="396" spans="1:2" x14ac:dyDescent="0.25">
      <c r="A396" s="4">
        <v>391</v>
      </c>
      <c r="B396" s="3" t="str">
        <f>"00026842"</f>
        <v>00026842</v>
      </c>
    </row>
    <row r="397" spans="1:2" x14ac:dyDescent="0.25">
      <c r="A397" s="4">
        <v>392</v>
      </c>
      <c r="B397" s="3" t="str">
        <f>"00026923"</f>
        <v>00026923</v>
      </c>
    </row>
    <row r="398" spans="1:2" x14ac:dyDescent="0.25">
      <c r="A398" s="4">
        <v>393</v>
      </c>
      <c r="B398" s="3" t="str">
        <f>"00026969"</f>
        <v>00026969</v>
      </c>
    </row>
    <row r="399" spans="1:2" x14ac:dyDescent="0.25">
      <c r="A399" s="4">
        <v>394</v>
      </c>
      <c r="B399" s="3" t="str">
        <f>"00027113"</f>
        <v>00027113</v>
      </c>
    </row>
    <row r="400" spans="1:2" x14ac:dyDescent="0.25">
      <c r="A400" s="4">
        <v>395</v>
      </c>
      <c r="B400" s="3" t="str">
        <f>"00027122"</f>
        <v>00027122</v>
      </c>
    </row>
    <row r="401" spans="1:2" x14ac:dyDescent="0.25">
      <c r="A401" s="4">
        <v>396</v>
      </c>
      <c r="B401" s="3" t="str">
        <f>"00027137"</f>
        <v>00027137</v>
      </c>
    </row>
    <row r="402" spans="1:2" x14ac:dyDescent="0.25">
      <c r="A402" s="4">
        <v>397</v>
      </c>
      <c r="B402" s="3" t="str">
        <f>"00027165"</f>
        <v>00027165</v>
      </c>
    </row>
    <row r="403" spans="1:2" x14ac:dyDescent="0.25">
      <c r="A403" s="4">
        <v>398</v>
      </c>
      <c r="B403" s="3" t="str">
        <f>"00027210"</f>
        <v>00027210</v>
      </c>
    </row>
    <row r="404" spans="1:2" x14ac:dyDescent="0.25">
      <c r="A404" s="4">
        <v>399</v>
      </c>
      <c r="B404" s="3" t="str">
        <f>"00027293"</f>
        <v>00027293</v>
      </c>
    </row>
    <row r="405" spans="1:2" x14ac:dyDescent="0.25">
      <c r="A405" s="4">
        <v>400</v>
      </c>
      <c r="B405" s="3" t="str">
        <f>"00027363"</f>
        <v>00027363</v>
      </c>
    </row>
    <row r="406" spans="1:2" x14ac:dyDescent="0.25">
      <c r="A406" s="4">
        <v>401</v>
      </c>
      <c r="B406" s="3" t="str">
        <f>"00027381"</f>
        <v>00027381</v>
      </c>
    </row>
    <row r="407" spans="1:2" x14ac:dyDescent="0.25">
      <c r="A407" s="4">
        <v>402</v>
      </c>
      <c r="B407" s="3" t="str">
        <f>"00027412"</f>
        <v>00027412</v>
      </c>
    </row>
    <row r="408" spans="1:2" x14ac:dyDescent="0.25">
      <c r="A408" s="4">
        <v>403</v>
      </c>
      <c r="B408" s="3" t="str">
        <f>"00027515"</f>
        <v>00027515</v>
      </c>
    </row>
    <row r="409" spans="1:2" x14ac:dyDescent="0.25">
      <c r="A409" s="4">
        <v>404</v>
      </c>
      <c r="B409" s="3" t="str">
        <f>"00027649"</f>
        <v>00027649</v>
      </c>
    </row>
    <row r="410" spans="1:2" x14ac:dyDescent="0.25">
      <c r="A410" s="4">
        <v>405</v>
      </c>
      <c r="B410" s="3" t="str">
        <f>"00027677"</f>
        <v>00027677</v>
      </c>
    </row>
    <row r="411" spans="1:2" x14ac:dyDescent="0.25">
      <c r="A411" s="4">
        <v>406</v>
      </c>
      <c r="B411" s="3" t="str">
        <f>"00027681"</f>
        <v>00027681</v>
      </c>
    </row>
    <row r="412" spans="1:2" x14ac:dyDescent="0.25">
      <c r="A412" s="4">
        <v>407</v>
      </c>
      <c r="B412" s="3" t="str">
        <f>"00027699"</f>
        <v>00027699</v>
      </c>
    </row>
    <row r="413" spans="1:2" x14ac:dyDescent="0.25">
      <c r="A413" s="4">
        <v>408</v>
      </c>
      <c r="B413" s="3" t="str">
        <f>"00027711"</f>
        <v>00027711</v>
      </c>
    </row>
    <row r="414" spans="1:2" x14ac:dyDescent="0.25">
      <c r="A414" s="4">
        <v>409</v>
      </c>
      <c r="B414" s="3" t="str">
        <f>"00027771"</f>
        <v>00027771</v>
      </c>
    </row>
    <row r="415" spans="1:2" x14ac:dyDescent="0.25">
      <c r="A415" s="4">
        <v>410</v>
      </c>
      <c r="B415" s="3" t="str">
        <f>"00027792"</f>
        <v>00027792</v>
      </c>
    </row>
    <row r="416" spans="1:2" x14ac:dyDescent="0.25">
      <c r="A416" s="4">
        <v>411</v>
      </c>
      <c r="B416" s="3" t="str">
        <f>"00027794"</f>
        <v>00027794</v>
      </c>
    </row>
    <row r="417" spans="1:2" x14ac:dyDescent="0.25">
      <c r="A417" s="4">
        <v>412</v>
      </c>
      <c r="B417" s="3" t="str">
        <f>"00027844"</f>
        <v>00027844</v>
      </c>
    </row>
    <row r="418" spans="1:2" x14ac:dyDescent="0.25">
      <c r="A418" s="4">
        <v>413</v>
      </c>
      <c r="B418" s="3" t="str">
        <f>"00027861"</f>
        <v>00027861</v>
      </c>
    </row>
    <row r="419" spans="1:2" x14ac:dyDescent="0.25">
      <c r="A419" s="4">
        <v>414</v>
      </c>
      <c r="B419" s="3" t="str">
        <f>"00027870"</f>
        <v>00027870</v>
      </c>
    </row>
    <row r="420" spans="1:2" x14ac:dyDescent="0.25">
      <c r="A420" s="4">
        <v>415</v>
      </c>
      <c r="B420" s="3" t="str">
        <f>"00027880"</f>
        <v>00027880</v>
      </c>
    </row>
    <row r="421" spans="1:2" x14ac:dyDescent="0.25">
      <c r="A421" s="4">
        <v>416</v>
      </c>
      <c r="B421" s="3" t="str">
        <f>"00027881"</f>
        <v>00027881</v>
      </c>
    </row>
    <row r="422" spans="1:2" x14ac:dyDescent="0.25">
      <c r="A422" s="4">
        <v>417</v>
      </c>
      <c r="B422" s="3" t="str">
        <f>"00027884"</f>
        <v>00027884</v>
      </c>
    </row>
    <row r="423" spans="1:2" x14ac:dyDescent="0.25">
      <c r="A423" s="4">
        <v>418</v>
      </c>
      <c r="B423" s="3" t="str">
        <f>"00027915"</f>
        <v>00027915</v>
      </c>
    </row>
    <row r="424" spans="1:2" x14ac:dyDescent="0.25">
      <c r="A424" s="4">
        <v>419</v>
      </c>
      <c r="B424" s="3" t="str">
        <f>"00027919"</f>
        <v>00027919</v>
      </c>
    </row>
    <row r="425" spans="1:2" x14ac:dyDescent="0.25">
      <c r="A425" s="4">
        <v>420</v>
      </c>
      <c r="B425" s="3" t="str">
        <f>"00027939"</f>
        <v>00027939</v>
      </c>
    </row>
    <row r="426" spans="1:2" x14ac:dyDescent="0.25">
      <c r="A426" s="4">
        <v>421</v>
      </c>
      <c r="B426" s="3" t="str">
        <f>"00028059"</f>
        <v>00028059</v>
      </c>
    </row>
    <row r="427" spans="1:2" x14ac:dyDescent="0.25">
      <c r="A427" s="4">
        <v>422</v>
      </c>
      <c r="B427" s="3" t="str">
        <f>"00028147"</f>
        <v>00028147</v>
      </c>
    </row>
    <row r="428" spans="1:2" x14ac:dyDescent="0.25">
      <c r="A428" s="4">
        <v>423</v>
      </c>
      <c r="B428" s="3" t="str">
        <f>"00028153"</f>
        <v>00028153</v>
      </c>
    </row>
    <row r="429" spans="1:2" x14ac:dyDescent="0.25">
      <c r="A429" s="4">
        <v>424</v>
      </c>
      <c r="B429" s="3" t="str">
        <f>"00028341"</f>
        <v>00028341</v>
      </c>
    </row>
    <row r="430" spans="1:2" x14ac:dyDescent="0.25">
      <c r="A430" s="4">
        <v>425</v>
      </c>
      <c r="B430" s="3" t="str">
        <f>"00028396"</f>
        <v>00028396</v>
      </c>
    </row>
    <row r="431" spans="1:2" x14ac:dyDescent="0.25">
      <c r="A431" s="4">
        <v>426</v>
      </c>
      <c r="B431" s="3" t="str">
        <f>"00028420"</f>
        <v>00028420</v>
      </c>
    </row>
    <row r="432" spans="1:2" x14ac:dyDescent="0.25">
      <c r="A432" s="4">
        <v>427</v>
      </c>
      <c r="B432" s="3" t="str">
        <f>"00028434"</f>
        <v>00028434</v>
      </c>
    </row>
    <row r="433" spans="1:2" x14ac:dyDescent="0.25">
      <c r="A433" s="4">
        <v>428</v>
      </c>
      <c r="B433" s="3" t="str">
        <f>"00028466"</f>
        <v>00028466</v>
      </c>
    </row>
    <row r="434" spans="1:2" x14ac:dyDescent="0.25">
      <c r="A434" s="4">
        <v>429</v>
      </c>
      <c r="B434" s="3" t="str">
        <f>"00028537"</f>
        <v>00028537</v>
      </c>
    </row>
    <row r="435" spans="1:2" x14ac:dyDescent="0.25">
      <c r="A435" s="4">
        <v>430</v>
      </c>
      <c r="B435" s="3" t="str">
        <f>"00028557"</f>
        <v>00028557</v>
      </c>
    </row>
    <row r="436" spans="1:2" x14ac:dyDescent="0.25">
      <c r="A436" s="4">
        <v>431</v>
      </c>
      <c r="B436" s="3" t="str">
        <f>"00028568"</f>
        <v>00028568</v>
      </c>
    </row>
    <row r="437" spans="1:2" x14ac:dyDescent="0.25">
      <c r="A437" s="4">
        <v>432</v>
      </c>
      <c r="B437" s="3" t="str">
        <f>"00028614"</f>
        <v>00028614</v>
      </c>
    </row>
    <row r="438" spans="1:2" x14ac:dyDescent="0.25">
      <c r="A438" s="4">
        <v>433</v>
      </c>
      <c r="B438" s="3" t="str">
        <f>"00028684"</f>
        <v>00028684</v>
      </c>
    </row>
    <row r="439" spans="1:2" x14ac:dyDescent="0.25">
      <c r="A439" s="4">
        <v>434</v>
      </c>
      <c r="B439" s="3" t="str">
        <f>"00028685"</f>
        <v>00028685</v>
      </c>
    </row>
    <row r="440" spans="1:2" x14ac:dyDescent="0.25">
      <c r="A440" s="4">
        <v>435</v>
      </c>
      <c r="B440" s="3" t="str">
        <f>"00028693"</f>
        <v>00028693</v>
      </c>
    </row>
    <row r="441" spans="1:2" x14ac:dyDescent="0.25">
      <c r="A441" s="4">
        <v>436</v>
      </c>
      <c r="B441" s="3" t="str">
        <f>"00028715"</f>
        <v>00028715</v>
      </c>
    </row>
    <row r="442" spans="1:2" x14ac:dyDescent="0.25">
      <c r="A442" s="4">
        <v>437</v>
      </c>
      <c r="B442" s="3" t="str">
        <f>"00028727"</f>
        <v>00028727</v>
      </c>
    </row>
    <row r="443" spans="1:2" x14ac:dyDescent="0.25">
      <c r="A443" s="4">
        <v>438</v>
      </c>
      <c r="B443" s="3" t="str">
        <f>"00028752"</f>
        <v>00028752</v>
      </c>
    </row>
    <row r="444" spans="1:2" x14ac:dyDescent="0.25">
      <c r="A444" s="4">
        <v>439</v>
      </c>
      <c r="B444" s="3" t="str">
        <f>"00028914"</f>
        <v>00028914</v>
      </c>
    </row>
    <row r="445" spans="1:2" x14ac:dyDescent="0.25">
      <c r="A445" s="4">
        <v>440</v>
      </c>
      <c r="B445" s="3" t="str">
        <f>"00029014"</f>
        <v>00029014</v>
      </c>
    </row>
    <row r="446" spans="1:2" x14ac:dyDescent="0.25">
      <c r="A446" s="4">
        <v>441</v>
      </c>
      <c r="B446" s="3" t="str">
        <f>"00029030"</f>
        <v>00029030</v>
      </c>
    </row>
    <row r="447" spans="1:2" x14ac:dyDescent="0.25">
      <c r="A447" s="4">
        <v>442</v>
      </c>
      <c r="B447" s="3" t="str">
        <f>"00029060"</f>
        <v>00029060</v>
      </c>
    </row>
    <row r="448" spans="1:2" x14ac:dyDescent="0.25">
      <c r="A448" s="4">
        <v>443</v>
      </c>
      <c r="B448" s="3" t="str">
        <f>"00029085"</f>
        <v>00029085</v>
      </c>
    </row>
    <row r="449" spans="1:2" x14ac:dyDescent="0.25">
      <c r="A449" s="4">
        <v>444</v>
      </c>
      <c r="B449" s="3" t="str">
        <f>"00029102"</f>
        <v>00029102</v>
      </c>
    </row>
    <row r="450" spans="1:2" x14ac:dyDescent="0.25">
      <c r="A450" s="4">
        <v>445</v>
      </c>
      <c r="B450" s="3" t="str">
        <f>"00029113"</f>
        <v>00029113</v>
      </c>
    </row>
    <row r="451" spans="1:2" x14ac:dyDescent="0.25">
      <c r="A451" s="4">
        <v>446</v>
      </c>
      <c r="B451" s="3" t="str">
        <f>"00029125"</f>
        <v>00029125</v>
      </c>
    </row>
    <row r="452" spans="1:2" x14ac:dyDescent="0.25">
      <c r="A452" s="4">
        <v>447</v>
      </c>
      <c r="B452" s="3" t="str">
        <f>"00029204"</f>
        <v>00029204</v>
      </c>
    </row>
    <row r="453" spans="1:2" x14ac:dyDescent="0.25">
      <c r="A453" s="4">
        <v>448</v>
      </c>
      <c r="B453" s="3" t="str">
        <f>"00029221"</f>
        <v>00029221</v>
      </c>
    </row>
    <row r="454" spans="1:2" x14ac:dyDescent="0.25">
      <c r="A454" s="4">
        <v>449</v>
      </c>
      <c r="B454" s="3" t="str">
        <f>"00029225"</f>
        <v>00029225</v>
      </c>
    </row>
    <row r="455" spans="1:2" x14ac:dyDescent="0.25">
      <c r="A455" s="4">
        <v>450</v>
      </c>
      <c r="B455" s="3" t="str">
        <f>"00029243"</f>
        <v>00029243</v>
      </c>
    </row>
    <row r="456" spans="1:2" x14ac:dyDescent="0.25">
      <c r="A456" s="4">
        <v>451</v>
      </c>
      <c r="B456" s="3" t="str">
        <f>"00029281"</f>
        <v>00029281</v>
      </c>
    </row>
    <row r="457" spans="1:2" x14ac:dyDescent="0.25">
      <c r="A457" s="4">
        <v>452</v>
      </c>
      <c r="B457" s="3" t="str">
        <f>"00029285"</f>
        <v>00029285</v>
      </c>
    </row>
    <row r="458" spans="1:2" x14ac:dyDescent="0.25">
      <c r="A458" s="4">
        <v>453</v>
      </c>
      <c r="B458" s="3" t="str">
        <f>"00029298"</f>
        <v>00029298</v>
      </c>
    </row>
    <row r="459" spans="1:2" x14ac:dyDescent="0.25">
      <c r="A459" s="4">
        <v>454</v>
      </c>
      <c r="B459" s="3" t="str">
        <f>"00029353"</f>
        <v>00029353</v>
      </c>
    </row>
    <row r="460" spans="1:2" x14ac:dyDescent="0.25">
      <c r="A460" s="4">
        <v>455</v>
      </c>
      <c r="B460" s="3" t="str">
        <f>"00029363"</f>
        <v>00029363</v>
      </c>
    </row>
    <row r="461" spans="1:2" x14ac:dyDescent="0.25">
      <c r="A461" s="4">
        <v>456</v>
      </c>
      <c r="B461" s="3" t="str">
        <f>"00029370"</f>
        <v>00029370</v>
      </c>
    </row>
    <row r="462" spans="1:2" x14ac:dyDescent="0.25">
      <c r="A462" s="4">
        <v>457</v>
      </c>
      <c r="B462" s="3" t="str">
        <f>"00029399"</f>
        <v>00029399</v>
      </c>
    </row>
    <row r="463" spans="1:2" x14ac:dyDescent="0.25">
      <c r="A463" s="4">
        <v>458</v>
      </c>
      <c r="B463" s="3" t="str">
        <f>"00029401"</f>
        <v>00029401</v>
      </c>
    </row>
    <row r="464" spans="1:2" x14ac:dyDescent="0.25">
      <c r="A464" s="4">
        <v>459</v>
      </c>
      <c r="B464" s="3" t="str">
        <f>"00029429"</f>
        <v>00029429</v>
      </c>
    </row>
    <row r="465" spans="1:2" x14ac:dyDescent="0.25">
      <c r="A465" s="4">
        <v>460</v>
      </c>
      <c r="B465" s="3" t="str">
        <f>"00029493"</f>
        <v>00029493</v>
      </c>
    </row>
    <row r="466" spans="1:2" x14ac:dyDescent="0.25">
      <c r="A466" s="4">
        <v>461</v>
      </c>
      <c r="B466" s="3" t="str">
        <f>"00029506"</f>
        <v>00029506</v>
      </c>
    </row>
    <row r="467" spans="1:2" x14ac:dyDescent="0.25">
      <c r="A467" s="4">
        <v>462</v>
      </c>
      <c r="B467" s="3" t="str">
        <f>"00029507"</f>
        <v>00029507</v>
      </c>
    </row>
    <row r="468" spans="1:2" x14ac:dyDescent="0.25">
      <c r="A468" s="4">
        <v>463</v>
      </c>
      <c r="B468" s="3" t="str">
        <f>"00029512"</f>
        <v>00029512</v>
      </c>
    </row>
    <row r="469" spans="1:2" x14ac:dyDescent="0.25">
      <c r="A469" s="4">
        <v>464</v>
      </c>
      <c r="B469" s="3" t="str">
        <f>"00029623"</f>
        <v>00029623</v>
      </c>
    </row>
    <row r="470" spans="1:2" x14ac:dyDescent="0.25">
      <c r="A470" s="4">
        <v>465</v>
      </c>
      <c r="B470" s="3" t="str">
        <f>"00029627"</f>
        <v>00029627</v>
      </c>
    </row>
    <row r="471" spans="1:2" x14ac:dyDescent="0.25">
      <c r="A471" s="4">
        <v>466</v>
      </c>
      <c r="B471" s="3" t="str">
        <f>"00029638"</f>
        <v>00029638</v>
      </c>
    </row>
    <row r="472" spans="1:2" x14ac:dyDescent="0.25">
      <c r="A472" s="4">
        <v>467</v>
      </c>
      <c r="B472" s="3" t="str">
        <f>"00029682"</f>
        <v>00029682</v>
      </c>
    </row>
    <row r="473" spans="1:2" x14ac:dyDescent="0.25">
      <c r="A473" s="4">
        <v>468</v>
      </c>
      <c r="B473" s="3" t="str">
        <f>"00029707"</f>
        <v>00029707</v>
      </c>
    </row>
    <row r="474" spans="1:2" x14ac:dyDescent="0.25">
      <c r="A474" s="4">
        <v>469</v>
      </c>
      <c r="B474" s="3" t="str">
        <f>"00029723"</f>
        <v>00029723</v>
      </c>
    </row>
    <row r="475" spans="1:2" x14ac:dyDescent="0.25">
      <c r="A475" s="4">
        <v>470</v>
      </c>
      <c r="B475" s="3" t="str">
        <f>"00029734"</f>
        <v>00029734</v>
      </c>
    </row>
    <row r="476" spans="1:2" x14ac:dyDescent="0.25">
      <c r="A476" s="4">
        <v>471</v>
      </c>
      <c r="B476" s="3" t="str">
        <f>"00029737"</f>
        <v>00029737</v>
      </c>
    </row>
    <row r="477" spans="1:2" x14ac:dyDescent="0.25">
      <c r="A477" s="4">
        <v>472</v>
      </c>
      <c r="B477" s="3" t="str">
        <f>"00029781"</f>
        <v>00029781</v>
      </c>
    </row>
    <row r="478" spans="1:2" x14ac:dyDescent="0.25">
      <c r="A478" s="4">
        <v>473</v>
      </c>
      <c r="B478" s="3" t="str">
        <f>"00029802"</f>
        <v>00029802</v>
      </c>
    </row>
    <row r="479" spans="1:2" x14ac:dyDescent="0.25">
      <c r="A479" s="4">
        <v>474</v>
      </c>
      <c r="B479" s="3" t="str">
        <f>"00029805"</f>
        <v>00029805</v>
      </c>
    </row>
    <row r="480" spans="1:2" x14ac:dyDescent="0.25">
      <c r="A480" s="4">
        <v>475</v>
      </c>
      <c r="B480" s="3" t="str">
        <f>"00029862"</f>
        <v>00029862</v>
      </c>
    </row>
    <row r="481" spans="1:2" x14ac:dyDescent="0.25">
      <c r="A481" s="4">
        <v>476</v>
      </c>
      <c r="B481" s="3" t="str">
        <f>"00029874"</f>
        <v>00029874</v>
      </c>
    </row>
    <row r="482" spans="1:2" x14ac:dyDescent="0.25">
      <c r="A482" s="4">
        <v>477</v>
      </c>
      <c r="B482" s="3" t="str">
        <f>"00030137"</f>
        <v>00030137</v>
      </c>
    </row>
    <row r="483" spans="1:2" x14ac:dyDescent="0.25">
      <c r="A483" s="4">
        <v>478</v>
      </c>
      <c r="B483" s="3" t="str">
        <f>"00030142"</f>
        <v>00030142</v>
      </c>
    </row>
    <row r="484" spans="1:2" x14ac:dyDescent="0.25">
      <c r="A484" s="4">
        <v>479</v>
      </c>
      <c r="B484" s="3" t="str">
        <f>"00030174"</f>
        <v>00030174</v>
      </c>
    </row>
    <row r="485" spans="1:2" x14ac:dyDescent="0.25">
      <c r="A485" s="4">
        <v>480</v>
      </c>
      <c r="B485" s="3" t="str">
        <f>"00030180"</f>
        <v>00030180</v>
      </c>
    </row>
    <row r="486" spans="1:2" x14ac:dyDescent="0.25">
      <c r="A486" s="4">
        <v>481</v>
      </c>
      <c r="B486" s="3" t="str">
        <f>"00030183"</f>
        <v>00030183</v>
      </c>
    </row>
    <row r="487" spans="1:2" x14ac:dyDescent="0.25">
      <c r="A487" s="4">
        <v>482</v>
      </c>
      <c r="B487" s="3" t="str">
        <f>"00030185"</f>
        <v>00030185</v>
      </c>
    </row>
    <row r="488" spans="1:2" x14ac:dyDescent="0.25">
      <c r="A488" s="4">
        <v>483</v>
      </c>
      <c r="B488" s="3" t="str">
        <f>"00030200"</f>
        <v>00030200</v>
      </c>
    </row>
    <row r="489" spans="1:2" x14ac:dyDescent="0.25">
      <c r="A489" s="4">
        <v>484</v>
      </c>
      <c r="B489" s="3" t="str">
        <f>"00030232"</f>
        <v>00030232</v>
      </c>
    </row>
    <row r="490" spans="1:2" x14ac:dyDescent="0.25">
      <c r="A490" s="4">
        <v>485</v>
      </c>
      <c r="B490" s="3" t="str">
        <f>"00030246"</f>
        <v>00030246</v>
      </c>
    </row>
    <row r="491" spans="1:2" x14ac:dyDescent="0.25">
      <c r="A491" s="4">
        <v>486</v>
      </c>
      <c r="B491" s="3" t="str">
        <f>"00030282"</f>
        <v>00030282</v>
      </c>
    </row>
    <row r="492" spans="1:2" x14ac:dyDescent="0.25">
      <c r="A492" s="4">
        <v>487</v>
      </c>
      <c r="B492" s="3" t="str">
        <f>"00030283"</f>
        <v>00030283</v>
      </c>
    </row>
    <row r="493" spans="1:2" x14ac:dyDescent="0.25">
      <c r="A493" s="4">
        <v>488</v>
      </c>
      <c r="B493" s="3" t="str">
        <f>"00030325"</f>
        <v>00030325</v>
      </c>
    </row>
    <row r="494" spans="1:2" x14ac:dyDescent="0.25">
      <c r="A494" s="4">
        <v>489</v>
      </c>
      <c r="B494" s="3" t="str">
        <f>"00030385"</f>
        <v>00030385</v>
      </c>
    </row>
    <row r="495" spans="1:2" x14ac:dyDescent="0.25">
      <c r="A495" s="4">
        <v>490</v>
      </c>
      <c r="B495" s="3" t="str">
        <f>"00030390"</f>
        <v>00030390</v>
      </c>
    </row>
    <row r="496" spans="1:2" x14ac:dyDescent="0.25">
      <c r="A496" s="4">
        <v>491</v>
      </c>
      <c r="B496" s="3" t="str">
        <f>"00030461"</f>
        <v>00030461</v>
      </c>
    </row>
    <row r="497" spans="1:2" x14ac:dyDescent="0.25">
      <c r="A497" s="4">
        <v>492</v>
      </c>
      <c r="B497" s="3" t="str">
        <f>"00030495"</f>
        <v>00030495</v>
      </c>
    </row>
    <row r="498" spans="1:2" x14ac:dyDescent="0.25">
      <c r="A498" s="4">
        <v>493</v>
      </c>
      <c r="B498" s="3" t="str">
        <f>"00030637"</f>
        <v>00030637</v>
      </c>
    </row>
    <row r="499" spans="1:2" x14ac:dyDescent="0.25">
      <c r="A499" s="4">
        <v>494</v>
      </c>
      <c r="B499" s="3" t="str">
        <f>"00030654"</f>
        <v>00030654</v>
      </c>
    </row>
    <row r="500" spans="1:2" x14ac:dyDescent="0.25">
      <c r="A500" s="4">
        <v>495</v>
      </c>
      <c r="B500" s="3" t="str">
        <f>"00030671"</f>
        <v>00030671</v>
      </c>
    </row>
    <row r="501" spans="1:2" x14ac:dyDescent="0.25">
      <c r="A501" s="4">
        <v>496</v>
      </c>
      <c r="B501" s="3" t="str">
        <f>"00030738"</f>
        <v>00030738</v>
      </c>
    </row>
    <row r="502" spans="1:2" x14ac:dyDescent="0.25">
      <c r="A502" s="4">
        <v>497</v>
      </c>
      <c r="B502" s="3" t="str">
        <f>"00030785"</f>
        <v>00030785</v>
      </c>
    </row>
    <row r="503" spans="1:2" x14ac:dyDescent="0.25">
      <c r="A503" s="4">
        <v>498</v>
      </c>
      <c r="B503" s="3" t="str">
        <f>"00030860"</f>
        <v>00030860</v>
      </c>
    </row>
    <row r="504" spans="1:2" x14ac:dyDescent="0.25">
      <c r="A504" s="4">
        <v>499</v>
      </c>
      <c r="B504" s="3" t="str">
        <f>"00030881"</f>
        <v>00030881</v>
      </c>
    </row>
    <row r="505" spans="1:2" x14ac:dyDescent="0.25">
      <c r="A505" s="4">
        <v>500</v>
      </c>
      <c r="B505" s="3" t="str">
        <f>"00031367"</f>
        <v>00031367</v>
      </c>
    </row>
    <row r="506" spans="1:2" x14ac:dyDescent="0.25">
      <c r="A506" s="4">
        <v>501</v>
      </c>
      <c r="B506" s="3" t="str">
        <f>"00031467"</f>
        <v>00031467</v>
      </c>
    </row>
    <row r="507" spans="1:2" x14ac:dyDescent="0.25">
      <c r="A507" s="4">
        <v>502</v>
      </c>
      <c r="B507" s="3" t="str">
        <f>"00031524"</f>
        <v>00031524</v>
      </c>
    </row>
    <row r="508" spans="1:2" x14ac:dyDescent="0.25">
      <c r="A508" s="4">
        <v>503</v>
      </c>
      <c r="B508" s="3" t="str">
        <f>"00031613"</f>
        <v>00031613</v>
      </c>
    </row>
    <row r="509" spans="1:2" x14ac:dyDescent="0.25">
      <c r="A509" s="4">
        <v>504</v>
      </c>
      <c r="B509" s="3" t="str">
        <f>"00031662"</f>
        <v>00031662</v>
      </c>
    </row>
    <row r="510" spans="1:2" x14ac:dyDescent="0.25">
      <c r="A510" s="4">
        <v>505</v>
      </c>
      <c r="B510" s="3" t="str">
        <f>"00031715"</f>
        <v>00031715</v>
      </c>
    </row>
    <row r="511" spans="1:2" x14ac:dyDescent="0.25">
      <c r="A511" s="4">
        <v>506</v>
      </c>
      <c r="B511" s="3" t="str">
        <f>"00031853"</f>
        <v>00031853</v>
      </c>
    </row>
    <row r="512" spans="1:2" x14ac:dyDescent="0.25">
      <c r="A512" s="4">
        <v>507</v>
      </c>
      <c r="B512" s="3" t="str">
        <f>"00031858"</f>
        <v>00031858</v>
      </c>
    </row>
    <row r="513" spans="1:2" x14ac:dyDescent="0.25">
      <c r="A513" s="4">
        <v>508</v>
      </c>
      <c r="B513" s="3" t="str">
        <f>"00032121"</f>
        <v>00032121</v>
      </c>
    </row>
    <row r="514" spans="1:2" x14ac:dyDescent="0.25">
      <c r="A514" s="4">
        <v>509</v>
      </c>
      <c r="B514" s="3" t="str">
        <f>"00032157"</f>
        <v>00032157</v>
      </c>
    </row>
    <row r="515" spans="1:2" x14ac:dyDescent="0.25">
      <c r="A515" s="4">
        <v>510</v>
      </c>
      <c r="B515" s="3" t="str">
        <f>"00032307"</f>
        <v>00032307</v>
      </c>
    </row>
    <row r="516" spans="1:2" x14ac:dyDescent="0.25">
      <c r="A516" s="4">
        <v>511</v>
      </c>
      <c r="B516" s="3" t="str">
        <f>"00032328"</f>
        <v>00032328</v>
      </c>
    </row>
    <row r="517" spans="1:2" x14ac:dyDescent="0.25">
      <c r="A517" s="4">
        <v>512</v>
      </c>
      <c r="B517" s="3" t="str">
        <f>"00032446"</f>
        <v>00032446</v>
      </c>
    </row>
    <row r="518" spans="1:2" x14ac:dyDescent="0.25">
      <c r="A518" s="4">
        <v>513</v>
      </c>
      <c r="B518" s="3" t="str">
        <f>"00032533"</f>
        <v>00032533</v>
      </c>
    </row>
    <row r="519" spans="1:2" x14ac:dyDescent="0.25">
      <c r="A519" s="4">
        <v>514</v>
      </c>
      <c r="B519" s="3" t="str">
        <f>"00032541"</f>
        <v>00032541</v>
      </c>
    </row>
    <row r="520" spans="1:2" x14ac:dyDescent="0.25">
      <c r="A520" s="4">
        <v>515</v>
      </c>
      <c r="B520" s="3" t="str">
        <f>"00032553"</f>
        <v>00032553</v>
      </c>
    </row>
    <row r="521" spans="1:2" x14ac:dyDescent="0.25">
      <c r="A521" s="4">
        <v>516</v>
      </c>
      <c r="B521" s="3" t="str">
        <f>"00032690"</f>
        <v>00032690</v>
      </c>
    </row>
    <row r="522" spans="1:2" x14ac:dyDescent="0.25">
      <c r="A522" s="4">
        <v>517</v>
      </c>
      <c r="B522" s="3" t="str">
        <f>"00032794"</f>
        <v>00032794</v>
      </c>
    </row>
    <row r="523" spans="1:2" x14ac:dyDescent="0.25">
      <c r="A523" s="4">
        <v>518</v>
      </c>
      <c r="B523" s="3" t="str">
        <f>"00033029"</f>
        <v>00033029</v>
      </c>
    </row>
    <row r="524" spans="1:2" x14ac:dyDescent="0.25">
      <c r="A524" s="4">
        <v>519</v>
      </c>
      <c r="B524" s="3" t="str">
        <f>"00033048"</f>
        <v>00033048</v>
      </c>
    </row>
    <row r="525" spans="1:2" x14ac:dyDescent="0.25">
      <c r="A525" s="4">
        <v>520</v>
      </c>
      <c r="B525" s="3" t="str">
        <f>"00033051"</f>
        <v>00033051</v>
      </c>
    </row>
    <row r="526" spans="1:2" x14ac:dyDescent="0.25">
      <c r="A526" s="4">
        <v>521</v>
      </c>
      <c r="B526" s="3" t="str">
        <f>"00033081"</f>
        <v>00033081</v>
      </c>
    </row>
    <row r="527" spans="1:2" x14ac:dyDescent="0.25">
      <c r="A527" s="4">
        <v>522</v>
      </c>
      <c r="B527" s="3" t="str">
        <f>"00033086"</f>
        <v>00033086</v>
      </c>
    </row>
    <row r="528" spans="1:2" x14ac:dyDescent="0.25">
      <c r="A528" s="4">
        <v>523</v>
      </c>
      <c r="B528" s="3" t="str">
        <f>"00033092"</f>
        <v>00033092</v>
      </c>
    </row>
    <row r="529" spans="1:2" x14ac:dyDescent="0.25">
      <c r="A529" s="4">
        <v>524</v>
      </c>
      <c r="B529" s="3" t="str">
        <f>"00033107"</f>
        <v>00033107</v>
      </c>
    </row>
    <row r="530" spans="1:2" x14ac:dyDescent="0.25">
      <c r="A530" s="4">
        <v>525</v>
      </c>
      <c r="B530" s="3" t="str">
        <f>"00033143"</f>
        <v>00033143</v>
      </c>
    </row>
    <row r="531" spans="1:2" x14ac:dyDescent="0.25">
      <c r="A531" s="4">
        <v>526</v>
      </c>
      <c r="B531" s="3" t="str">
        <f>"00033346"</f>
        <v>00033346</v>
      </c>
    </row>
    <row r="532" spans="1:2" x14ac:dyDescent="0.25">
      <c r="A532" s="4">
        <v>527</v>
      </c>
      <c r="B532" s="3" t="str">
        <f>"00033350"</f>
        <v>00033350</v>
      </c>
    </row>
    <row r="533" spans="1:2" x14ac:dyDescent="0.25">
      <c r="A533" s="4">
        <v>528</v>
      </c>
      <c r="B533" s="3" t="str">
        <f>"00033371"</f>
        <v>00033371</v>
      </c>
    </row>
    <row r="534" spans="1:2" x14ac:dyDescent="0.25">
      <c r="A534" s="4">
        <v>529</v>
      </c>
      <c r="B534" s="3" t="str">
        <f>"00033450"</f>
        <v>00033450</v>
      </c>
    </row>
    <row r="535" spans="1:2" x14ac:dyDescent="0.25">
      <c r="A535" s="4">
        <v>530</v>
      </c>
      <c r="B535" s="3" t="str">
        <f>"00034294"</f>
        <v>00034294</v>
      </c>
    </row>
    <row r="536" spans="1:2" x14ac:dyDescent="0.25">
      <c r="A536" s="4">
        <v>531</v>
      </c>
      <c r="B536" s="3" t="str">
        <f>"00034400"</f>
        <v>00034400</v>
      </c>
    </row>
    <row r="537" spans="1:2" x14ac:dyDescent="0.25">
      <c r="A537" s="4">
        <v>532</v>
      </c>
      <c r="B537" s="3" t="str">
        <f>"00034917"</f>
        <v>00034917</v>
      </c>
    </row>
    <row r="538" spans="1:2" x14ac:dyDescent="0.25">
      <c r="A538" s="4">
        <v>533</v>
      </c>
      <c r="B538" s="3" t="str">
        <f>"00034935"</f>
        <v>00034935</v>
      </c>
    </row>
    <row r="539" spans="1:2" x14ac:dyDescent="0.25">
      <c r="A539" s="4">
        <v>534</v>
      </c>
      <c r="B539" s="3" t="str">
        <f>"00035046"</f>
        <v>00035046</v>
      </c>
    </row>
    <row r="540" spans="1:2" x14ac:dyDescent="0.25">
      <c r="A540" s="4">
        <v>535</v>
      </c>
      <c r="B540" s="3" t="str">
        <f>"00035099"</f>
        <v>00035099</v>
      </c>
    </row>
    <row r="541" spans="1:2" x14ac:dyDescent="0.25">
      <c r="A541" s="4">
        <v>536</v>
      </c>
      <c r="B541" s="3" t="str">
        <f>"00035216"</f>
        <v>00035216</v>
      </c>
    </row>
    <row r="542" spans="1:2" x14ac:dyDescent="0.25">
      <c r="A542" s="4">
        <v>537</v>
      </c>
      <c r="B542" s="3" t="str">
        <f>"00035805"</f>
        <v>00035805</v>
      </c>
    </row>
    <row r="543" spans="1:2" x14ac:dyDescent="0.25">
      <c r="A543" s="4">
        <v>538</v>
      </c>
      <c r="B543" s="3" t="str">
        <f>"00035809"</f>
        <v>00035809</v>
      </c>
    </row>
    <row r="544" spans="1:2" x14ac:dyDescent="0.25">
      <c r="A544" s="4">
        <v>539</v>
      </c>
      <c r="B544" s="3" t="str">
        <f>"00035812"</f>
        <v>00035812</v>
      </c>
    </row>
    <row r="545" spans="1:2" x14ac:dyDescent="0.25">
      <c r="A545" s="4">
        <v>540</v>
      </c>
      <c r="B545" s="3" t="str">
        <f>"00035983"</f>
        <v>00035983</v>
      </c>
    </row>
    <row r="546" spans="1:2" x14ac:dyDescent="0.25">
      <c r="A546" s="4">
        <v>541</v>
      </c>
      <c r="B546" s="3" t="str">
        <f>"00036154"</f>
        <v>00036154</v>
      </c>
    </row>
    <row r="547" spans="1:2" x14ac:dyDescent="0.25">
      <c r="A547" s="4">
        <v>542</v>
      </c>
      <c r="B547" s="3" t="str">
        <f>"00036157"</f>
        <v>00036157</v>
      </c>
    </row>
    <row r="548" spans="1:2" x14ac:dyDescent="0.25">
      <c r="A548" s="4">
        <v>543</v>
      </c>
      <c r="B548" s="3" t="str">
        <f>"00036398"</f>
        <v>00036398</v>
      </c>
    </row>
    <row r="549" spans="1:2" x14ac:dyDescent="0.25">
      <c r="A549" s="4">
        <v>544</v>
      </c>
      <c r="B549" s="3" t="str">
        <f>"00036412"</f>
        <v>00036412</v>
      </c>
    </row>
    <row r="550" spans="1:2" x14ac:dyDescent="0.25">
      <c r="A550" s="4">
        <v>545</v>
      </c>
      <c r="B550" s="3" t="str">
        <f>"00036460"</f>
        <v>00036460</v>
      </c>
    </row>
    <row r="551" spans="1:2" x14ac:dyDescent="0.25">
      <c r="A551" s="4">
        <v>546</v>
      </c>
      <c r="B551" s="3" t="str">
        <f>"00036543"</f>
        <v>00036543</v>
      </c>
    </row>
    <row r="552" spans="1:2" x14ac:dyDescent="0.25">
      <c r="A552" s="4">
        <v>547</v>
      </c>
      <c r="B552" s="3" t="str">
        <f>"00036638"</f>
        <v>00036638</v>
      </c>
    </row>
    <row r="553" spans="1:2" x14ac:dyDescent="0.25">
      <c r="A553" s="4">
        <v>548</v>
      </c>
      <c r="B553" s="3" t="str">
        <f>"00036643"</f>
        <v>00036643</v>
      </c>
    </row>
    <row r="554" spans="1:2" x14ac:dyDescent="0.25">
      <c r="A554" s="4">
        <v>549</v>
      </c>
      <c r="B554" s="3" t="str">
        <f>"00036933"</f>
        <v>00036933</v>
      </c>
    </row>
    <row r="555" spans="1:2" x14ac:dyDescent="0.25">
      <c r="A555" s="4">
        <v>550</v>
      </c>
      <c r="B555" s="3" t="str">
        <f>"00037008"</f>
        <v>00037008</v>
      </c>
    </row>
    <row r="556" spans="1:2" x14ac:dyDescent="0.25">
      <c r="A556" s="4">
        <v>551</v>
      </c>
      <c r="B556" s="3" t="str">
        <f>"00037023"</f>
        <v>00037023</v>
      </c>
    </row>
    <row r="557" spans="1:2" x14ac:dyDescent="0.25">
      <c r="A557" s="4">
        <v>552</v>
      </c>
      <c r="B557" s="3" t="str">
        <f>"00037084"</f>
        <v>00037084</v>
      </c>
    </row>
    <row r="558" spans="1:2" x14ac:dyDescent="0.25">
      <c r="A558" s="4">
        <v>553</v>
      </c>
      <c r="B558" s="3" t="str">
        <f>"00037166"</f>
        <v>00037166</v>
      </c>
    </row>
    <row r="559" spans="1:2" x14ac:dyDescent="0.25">
      <c r="A559" s="4">
        <v>554</v>
      </c>
      <c r="B559" s="3" t="str">
        <f>"00037185"</f>
        <v>00037185</v>
      </c>
    </row>
    <row r="560" spans="1:2" x14ac:dyDescent="0.25">
      <c r="A560" s="4">
        <v>555</v>
      </c>
      <c r="B560" s="3" t="str">
        <f>"00037210"</f>
        <v>00037210</v>
      </c>
    </row>
    <row r="561" spans="1:2" x14ac:dyDescent="0.25">
      <c r="A561" s="4">
        <v>556</v>
      </c>
      <c r="B561" s="3" t="str">
        <f>"00037262"</f>
        <v>00037262</v>
      </c>
    </row>
    <row r="562" spans="1:2" x14ac:dyDescent="0.25">
      <c r="A562" s="4">
        <v>557</v>
      </c>
      <c r="B562" s="3" t="str">
        <f>"00037376"</f>
        <v>00037376</v>
      </c>
    </row>
    <row r="563" spans="1:2" x14ac:dyDescent="0.25">
      <c r="A563" s="4">
        <v>558</v>
      </c>
      <c r="B563" s="3" t="str">
        <f>"00037396"</f>
        <v>00037396</v>
      </c>
    </row>
    <row r="564" spans="1:2" x14ac:dyDescent="0.25">
      <c r="A564" s="4">
        <v>559</v>
      </c>
      <c r="B564" s="3" t="str">
        <f>"00037520"</f>
        <v>00037520</v>
      </c>
    </row>
    <row r="565" spans="1:2" x14ac:dyDescent="0.25">
      <c r="A565" s="4">
        <v>560</v>
      </c>
      <c r="B565" s="3" t="str">
        <f>"00037702"</f>
        <v>00037702</v>
      </c>
    </row>
    <row r="566" spans="1:2" x14ac:dyDescent="0.25">
      <c r="A566" s="4">
        <v>561</v>
      </c>
      <c r="B566" s="3" t="str">
        <f>"00037776"</f>
        <v>00037776</v>
      </c>
    </row>
    <row r="567" spans="1:2" x14ac:dyDescent="0.25">
      <c r="A567" s="4">
        <v>562</v>
      </c>
      <c r="B567" s="3" t="str">
        <f>"00037815"</f>
        <v>00037815</v>
      </c>
    </row>
    <row r="568" spans="1:2" x14ac:dyDescent="0.25">
      <c r="A568" s="4">
        <v>563</v>
      </c>
      <c r="B568" s="3" t="str">
        <f>"00037967"</f>
        <v>00037967</v>
      </c>
    </row>
    <row r="569" spans="1:2" x14ac:dyDescent="0.25">
      <c r="A569" s="4">
        <v>564</v>
      </c>
      <c r="B569" s="3" t="str">
        <f>"00037986"</f>
        <v>00037986</v>
      </c>
    </row>
    <row r="570" spans="1:2" x14ac:dyDescent="0.25">
      <c r="A570" s="4">
        <v>565</v>
      </c>
      <c r="B570" s="3" t="str">
        <f>"00038049"</f>
        <v>00038049</v>
      </c>
    </row>
    <row r="571" spans="1:2" x14ac:dyDescent="0.25">
      <c r="A571" s="4">
        <v>566</v>
      </c>
      <c r="B571" s="3" t="str">
        <f>"00038131"</f>
        <v>00038131</v>
      </c>
    </row>
    <row r="572" spans="1:2" x14ac:dyDescent="0.25">
      <c r="A572" s="4">
        <v>567</v>
      </c>
      <c r="B572" s="3" t="str">
        <f>"00038246"</f>
        <v>00038246</v>
      </c>
    </row>
    <row r="573" spans="1:2" x14ac:dyDescent="0.25">
      <c r="A573" s="4">
        <v>568</v>
      </c>
      <c r="B573" s="3" t="str">
        <f>"00038252"</f>
        <v>00038252</v>
      </c>
    </row>
    <row r="574" spans="1:2" x14ac:dyDescent="0.25">
      <c r="A574" s="4">
        <v>569</v>
      </c>
      <c r="B574" s="3" t="str">
        <f>"00038260"</f>
        <v>00038260</v>
      </c>
    </row>
    <row r="575" spans="1:2" x14ac:dyDescent="0.25">
      <c r="A575" s="4">
        <v>570</v>
      </c>
      <c r="B575" s="3" t="str">
        <f>"00038475"</f>
        <v>00038475</v>
      </c>
    </row>
    <row r="576" spans="1:2" x14ac:dyDescent="0.25">
      <c r="A576" s="4">
        <v>571</v>
      </c>
      <c r="B576" s="3" t="str">
        <f>"00038480"</f>
        <v>00038480</v>
      </c>
    </row>
    <row r="577" spans="1:2" x14ac:dyDescent="0.25">
      <c r="A577" s="4">
        <v>572</v>
      </c>
      <c r="B577" s="3" t="str">
        <f>"00038514"</f>
        <v>00038514</v>
      </c>
    </row>
    <row r="578" spans="1:2" x14ac:dyDescent="0.25">
      <c r="A578" s="4">
        <v>573</v>
      </c>
      <c r="B578" s="3" t="str">
        <f>"00038548"</f>
        <v>00038548</v>
      </c>
    </row>
    <row r="579" spans="1:2" x14ac:dyDescent="0.25">
      <c r="A579" s="4">
        <v>574</v>
      </c>
      <c r="B579" s="3" t="str">
        <f>"00038575"</f>
        <v>00038575</v>
      </c>
    </row>
    <row r="580" spans="1:2" x14ac:dyDescent="0.25">
      <c r="A580" s="4">
        <v>575</v>
      </c>
      <c r="B580" s="3" t="str">
        <f>"00038662"</f>
        <v>00038662</v>
      </c>
    </row>
    <row r="581" spans="1:2" x14ac:dyDescent="0.25">
      <c r="A581" s="4">
        <v>576</v>
      </c>
      <c r="B581" s="3" t="str">
        <f>"00038666"</f>
        <v>00038666</v>
      </c>
    </row>
    <row r="582" spans="1:2" x14ac:dyDescent="0.25">
      <c r="A582" s="4">
        <v>577</v>
      </c>
      <c r="B582" s="3" t="str">
        <f>"00038698"</f>
        <v>00038698</v>
      </c>
    </row>
    <row r="583" spans="1:2" x14ac:dyDescent="0.25">
      <c r="A583" s="4">
        <v>578</v>
      </c>
      <c r="B583" s="3" t="str">
        <f>"00038709"</f>
        <v>00038709</v>
      </c>
    </row>
    <row r="584" spans="1:2" x14ac:dyDescent="0.25">
      <c r="A584" s="4">
        <v>579</v>
      </c>
      <c r="B584" s="3" t="str">
        <f>"00038715"</f>
        <v>00038715</v>
      </c>
    </row>
    <row r="585" spans="1:2" x14ac:dyDescent="0.25">
      <c r="A585" s="4">
        <v>580</v>
      </c>
      <c r="B585" s="3" t="str">
        <f>"00038853"</f>
        <v>00038853</v>
      </c>
    </row>
    <row r="586" spans="1:2" x14ac:dyDescent="0.25">
      <c r="A586" s="4">
        <v>581</v>
      </c>
      <c r="B586" s="3" t="str">
        <f>"00038868"</f>
        <v>00038868</v>
      </c>
    </row>
    <row r="587" spans="1:2" x14ac:dyDescent="0.25">
      <c r="A587" s="4">
        <v>582</v>
      </c>
      <c r="B587" s="3" t="str">
        <f>"00038897"</f>
        <v>00038897</v>
      </c>
    </row>
    <row r="588" spans="1:2" x14ac:dyDescent="0.25">
      <c r="A588" s="4">
        <v>583</v>
      </c>
      <c r="B588" s="3" t="str">
        <f>"00038903"</f>
        <v>00038903</v>
      </c>
    </row>
    <row r="589" spans="1:2" x14ac:dyDescent="0.25">
      <c r="A589" s="4">
        <v>584</v>
      </c>
      <c r="B589" s="3" t="str">
        <f>"00038907"</f>
        <v>00038907</v>
      </c>
    </row>
    <row r="590" spans="1:2" x14ac:dyDescent="0.25">
      <c r="A590" s="4">
        <v>585</v>
      </c>
      <c r="B590" s="3" t="str">
        <f>"00038909"</f>
        <v>00038909</v>
      </c>
    </row>
    <row r="591" spans="1:2" x14ac:dyDescent="0.25">
      <c r="A591" s="4">
        <v>586</v>
      </c>
      <c r="B591" s="3" t="str">
        <f>"00038946"</f>
        <v>00038946</v>
      </c>
    </row>
    <row r="592" spans="1:2" x14ac:dyDescent="0.25">
      <c r="A592" s="4">
        <v>587</v>
      </c>
      <c r="B592" s="3" t="str">
        <f>"00038980"</f>
        <v>00038980</v>
      </c>
    </row>
    <row r="593" spans="1:2" x14ac:dyDescent="0.25">
      <c r="A593" s="4">
        <v>588</v>
      </c>
      <c r="B593" s="3" t="str">
        <f>"00039035"</f>
        <v>00039035</v>
      </c>
    </row>
    <row r="594" spans="1:2" x14ac:dyDescent="0.25">
      <c r="A594" s="4">
        <v>589</v>
      </c>
      <c r="B594" s="3" t="str">
        <f>"00039044"</f>
        <v>00039044</v>
      </c>
    </row>
    <row r="595" spans="1:2" x14ac:dyDescent="0.25">
      <c r="A595" s="4">
        <v>590</v>
      </c>
      <c r="B595" s="3" t="str">
        <f>"00039047"</f>
        <v>00039047</v>
      </c>
    </row>
    <row r="596" spans="1:2" x14ac:dyDescent="0.25">
      <c r="A596" s="4">
        <v>591</v>
      </c>
      <c r="B596" s="3" t="str">
        <f>"00039104"</f>
        <v>00039104</v>
      </c>
    </row>
    <row r="597" spans="1:2" x14ac:dyDescent="0.25">
      <c r="A597" s="4">
        <v>592</v>
      </c>
      <c r="B597" s="3" t="str">
        <f>"00039112"</f>
        <v>00039112</v>
      </c>
    </row>
    <row r="598" spans="1:2" x14ac:dyDescent="0.25">
      <c r="A598" s="4">
        <v>593</v>
      </c>
      <c r="B598" s="3" t="str">
        <f>"00039120"</f>
        <v>00039120</v>
      </c>
    </row>
    <row r="599" spans="1:2" x14ac:dyDescent="0.25">
      <c r="A599" s="4">
        <v>594</v>
      </c>
      <c r="B599" s="3" t="str">
        <f>"00039127"</f>
        <v>00039127</v>
      </c>
    </row>
    <row r="600" spans="1:2" x14ac:dyDescent="0.25">
      <c r="A600" s="4">
        <v>595</v>
      </c>
      <c r="B600" s="3" t="str">
        <f>"00039258"</f>
        <v>00039258</v>
      </c>
    </row>
    <row r="601" spans="1:2" x14ac:dyDescent="0.25">
      <c r="A601" s="4">
        <v>596</v>
      </c>
      <c r="B601" s="3" t="str">
        <f>"00039293"</f>
        <v>00039293</v>
      </c>
    </row>
    <row r="602" spans="1:2" x14ac:dyDescent="0.25">
      <c r="A602" s="4">
        <v>597</v>
      </c>
      <c r="B602" s="3" t="str">
        <f>"00039404"</f>
        <v>00039404</v>
      </c>
    </row>
    <row r="603" spans="1:2" x14ac:dyDescent="0.25">
      <c r="A603" s="4">
        <v>598</v>
      </c>
      <c r="B603" s="3" t="str">
        <f>"00039503"</f>
        <v>00039503</v>
      </c>
    </row>
    <row r="604" spans="1:2" x14ac:dyDescent="0.25">
      <c r="A604" s="4">
        <v>599</v>
      </c>
      <c r="B604" s="3" t="str">
        <f>"00039621"</f>
        <v>00039621</v>
      </c>
    </row>
    <row r="605" spans="1:2" x14ac:dyDescent="0.25">
      <c r="A605" s="4">
        <v>600</v>
      </c>
      <c r="B605" s="3" t="str">
        <f>"00039631"</f>
        <v>00039631</v>
      </c>
    </row>
    <row r="606" spans="1:2" x14ac:dyDescent="0.25">
      <c r="A606" s="4">
        <v>601</v>
      </c>
      <c r="B606" s="3" t="str">
        <f>"00039642"</f>
        <v>00039642</v>
      </c>
    </row>
    <row r="607" spans="1:2" x14ac:dyDescent="0.25">
      <c r="A607" s="4">
        <v>602</v>
      </c>
      <c r="B607" s="3" t="str">
        <f>"00039671"</f>
        <v>00039671</v>
      </c>
    </row>
    <row r="608" spans="1:2" x14ac:dyDescent="0.25">
      <c r="A608" s="4">
        <v>603</v>
      </c>
      <c r="B608" s="3" t="str">
        <f>"00039673"</f>
        <v>00039673</v>
      </c>
    </row>
    <row r="609" spans="1:2" x14ac:dyDescent="0.25">
      <c r="A609" s="4">
        <v>604</v>
      </c>
      <c r="B609" s="3" t="str">
        <f>"00039684"</f>
        <v>00039684</v>
      </c>
    </row>
    <row r="610" spans="1:2" x14ac:dyDescent="0.25">
      <c r="A610" s="4">
        <v>605</v>
      </c>
      <c r="B610" s="3" t="str">
        <f>"00039754"</f>
        <v>00039754</v>
      </c>
    </row>
    <row r="611" spans="1:2" x14ac:dyDescent="0.25">
      <c r="A611" s="4">
        <v>606</v>
      </c>
      <c r="B611" s="3" t="str">
        <f>"00039829"</f>
        <v>00039829</v>
      </c>
    </row>
    <row r="612" spans="1:2" x14ac:dyDescent="0.25">
      <c r="A612" s="4">
        <v>607</v>
      </c>
      <c r="B612" s="3" t="str">
        <f>"00039856"</f>
        <v>00039856</v>
      </c>
    </row>
    <row r="613" spans="1:2" x14ac:dyDescent="0.25">
      <c r="A613" s="4">
        <v>608</v>
      </c>
      <c r="B613" s="3" t="str">
        <f>"00039949"</f>
        <v>00039949</v>
      </c>
    </row>
    <row r="614" spans="1:2" x14ac:dyDescent="0.25">
      <c r="A614" s="4">
        <v>609</v>
      </c>
      <c r="B614" s="3" t="str">
        <f>"00040027"</f>
        <v>00040027</v>
      </c>
    </row>
    <row r="615" spans="1:2" x14ac:dyDescent="0.25">
      <c r="A615" s="4">
        <v>610</v>
      </c>
      <c r="B615" s="3" t="str">
        <f>"00040034"</f>
        <v>00040034</v>
      </c>
    </row>
    <row r="616" spans="1:2" x14ac:dyDescent="0.25">
      <c r="A616" s="4">
        <v>611</v>
      </c>
      <c r="B616" s="3" t="str">
        <f>"00040035"</f>
        <v>00040035</v>
      </c>
    </row>
    <row r="617" spans="1:2" x14ac:dyDescent="0.25">
      <c r="A617" s="4">
        <v>612</v>
      </c>
      <c r="B617" s="3" t="str">
        <f>"00040079"</f>
        <v>00040079</v>
      </c>
    </row>
    <row r="618" spans="1:2" x14ac:dyDescent="0.25">
      <c r="A618" s="4">
        <v>613</v>
      </c>
      <c r="B618" s="3" t="str">
        <f>"00040090"</f>
        <v>00040090</v>
      </c>
    </row>
    <row r="619" spans="1:2" x14ac:dyDescent="0.25">
      <c r="A619" s="4">
        <v>614</v>
      </c>
      <c r="B619" s="3" t="str">
        <f>"00040114"</f>
        <v>00040114</v>
      </c>
    </row>
    <row r="620" spans="1:2" x14ac:dyDescent="0.25">
      <c r="A620" s="4">
        <v>615</v>
      </c>
      <c r="B620" s="3" t="str">
        <f>"00040151"</f>
        <v>00040151</v>
      </c>
    </row>
    <row r="621" spans="1:2" x14ac:dyDescent="0.25">
      <c r="A621" s="4">
        <v>616</v>
      </c>
      <c r="B621" s="3" t="str">
        <f>"00040160"</f>
        <v>00040160</v>
      </c>
    </row>
    <row r="622" spans="1:2" x14ac:dyDescent="0.25">
      <c r="A622" s="4">
        <v>617</v>
      </c>
      <c r="B622" s="3" t="str">
        <f>"00040173"</f>
        <v>00040173</v>
      </c>
    </row>
    <row r="623" spans="1:2" x14ac:dyDescent="0.25">
      <c r="A623" s="4">
        <v>618</v>
      </c>
      <c r="B623" s="3" t="str">
        <f>"00040198"</f>
        <v>00040198</v>
      </c>
    </row>
    <row r="624" spans="1:2" x14ac:dyDescent="0.25">
      <c r="A624" s="4">
        <v>619</v>
      </c>
      <c r="B624" s="3" t="str">
        <f>"00040235"</f>
        <v>00040235</v>
      </c>
    </row>
    <row r="625" spans="1:2" x14ac:dyDescent="0.25">
      <c r="A625" s="4">
        <v>620</v>
      </c>
      <c r="B625" s="3" t="str">
        <f>"00040253"</f>
        <v>00040253</v>
      </c>
    </row>
    <row r="626" spans="1:2" x14ac:dyDescent="0.25">
      <c r="A626" s="4">
        <v>621</v>
      </c>
      <c r="B626" s="3" t="str">
        <f>"00040323"</f>
        <v>00040323</v>
      </c>
    </row>
    <row r="627" spans="1:2" x14ac:dyDescent="0.25">
      <c r="A627" s="4">
        <v>622</v>
      </c>
      <c r="B627" s="3" t="str">
        <f>"00040329"</f>
        <v>00040329</v>
      </c>
    </row>
    <row r="628" spans="1:2" x14ac:dyDescent="0.25">
      <c r="A628" s="4">
        <v>623</v>
      </c>
      <c r="B628" s="3" t="str">
        <f>"00040371"</f>
        <v>00040371</v>
      </c>
    </row>
    <row r="629" spans="1:2" x14ac:dyDescent="0.25">
      <c r="A629" s="4">
        <v>624</v>
      </c>
      <c r="B629" s="3" t="str">
        <f>"00040408"</f>
        <v>00040408</v>
      </c>
    </row>
    <row r="630" spans="1:2" x14ac:dyDescent="0.25">
      <c r="A630" s="4">
        <v>625</v>
      </c>
      <c r="B630" s="3" t="str">
        <f>"00040471"</f>
        <v>00040471</v>
      </c>
    </row>
    <row r="631" spans="1:2" x14ac:dyDescent="0.25">
      <c r="A631" s="4">
        <v>626</v>
      </c>
      <c r="B631" s="3" t="str">
        <f>"00040516"</f>
        <v>00040516</v>
      </c>
    </row>
    <row r="632" spans="1:2" x14ac:dyDescent="0.25">
      <c r="A632" s="4">
        <v>627</v>
      </c>
      <c r="B632" s="3" t="str">
        <f>"00040593"</f>
        <v>00040593</v>
      </c>
    </row>
    <row r="633" spans="1:2" x14ac:dyDescent="0.25">
      <c r="A633" s="4">
        <v>628</v>
      </c>
      <c r="B633" s="3" t="str">
        <f>"00040605"</f>
        <v>00040605</v>
      </c>
    </row>
    <row r="634" spans="1:2" x14ac:dyDescent="0.25">
      <c r="A634" s="4">
        <v>629</v>
      </c>
      <c r="B634" s="3" t="str">
        <f>"00040632"</f>
        <v>00040632</v>
      </c>
    </row>
    <row r="635" spans="1:2" x14ac:dyDescent="0.25">
      <c r="A635" s="4">
        <v>630</v>
      </c>
      <c r="B635" s="3" t="str">
        <f>"00040678"</f>
        <v>00040678</v>
      </c>
    </row>
    <row r="636" spans="1:2" x14ac:dyDescent="0.25">
      <c r="A636" s="4">
        <v>631</v>
      </c>
      <c r="B636" s="3" t="str">
        <f>"00040683"</f>
        <v>00040683</v>
      </c>
    </row>
    <row r="637" spans="1:2" x14ac:dyDescent="0.25">
      <c r="A637" s="4">
        <v>632</v>
      </c>
      <c r="B637" s="3" t="str">
        <f>"00040753"</f>
        <v>00040753</v>
      </c>
    </row>
    <row r="638" spans="1:2" x14ac:dyDescent="0.25">
      <c r="A638" s="4">
        <v>633</v>
      </c>
      <c r="B638" s="3" t="str">
        <f>"00040775"</f>
        <v>00040775</v>
      </c>
    </row>
    <row r="639" spans="1:2" x14ac:dyDescent="0.25">
      <c r="A639" s="4">
        <v>634</v>
      </c>
      <c r="B639" s="3" t="str">
        <f>"00040933"</f>
        <v>00040933</v>
      </c>
    </row>
    <row r="640" spans="1:2" x14ac:dyDescent="0.25">
      <c r="A640" s="4">
        <v>635</v>
      </c>
      <c r="B640" s="3" t="str">
        <f>"00040940"</f>
        <v>00040940</v>
      </c>
    </row>
    <row r="641" spans="1:2" x14ac:dyDescent="0.25">
      <c r="A641" s="4">
        <v>636</v>
      </c>
      <c r="B641" s="3" t="str">
        <f>"00040973"</f>
        <v>00040973</v>
      </c>
    </row>
    <row r="642" spans="1:2" x14ac:dyDescent="0.25">
      <c r="A642" s="4">
        <v>637</v>
      </c>
      <c r="B642" s="3" t="str">
        <f>"00041023"</f>
        <v>00041023</v>
      </c>
    </row>
    <row r="643" spans="1:2" x14ac:dyDescent="0.25">
      <c r="A643" s="4">
        <v>638</v>
      </c>
      <c r="B643" s="3" t="str">
        <f>"00041080"</f>
        <v>00041080</v>
      </c>
    </row>
    <row r="644" spans="1:2" x14ac:dyDescent="0.25">
      <c r="A644" s="4">
        <v>639</v>
      </c>
      <c r="B644" s="3" t="str">
        <f>"00041135"</f>
        <v>00041135</v>
      </c>
    </row>
    <row r="645" spans="1:2" x14ac:dyDescent="0.25">
      <c r="A645" s="4">
        <v>640</v>
      </c>
      <c r="B645" s="3" t="str">
        <f>"00041212"</f>
        <v>00041212</v>
      </c>
    </row>
    <row r="646" spans="1:2" x14ac:dyDescent="0.25">
      <c r="A646" s="4">
        <v>641</v>
      </c>
      <c r="B646" s="3" t="str">
        <f>"00041233"</f>
        <v>00041233</v>
      </c>
    </row>
    <row r="647" spans="1:2" x14ac:dyDescent="0.25">
      <c r="A647" s="4">
        <v>642</v>
      </c>
      <c r="B647" s="3" t="str">
        <f>"00041269"</f>
        <v>00041269</v>
      </c>
    </row>
    <row r="648" spans="1:2" x14ac:dyDescent="0.25">
      <c r="A648" s="4">
        <v>643</v>
      </c>
      <c r="B648" s="3" t="str">
        <f>"00041311"</f>
        <v>00041311</v>
      </c>
    </row>
    <row r="649" spans="1:2" x14ac:dyDescent="0.25">
      <c r="A649" s="4">
        <v>644</v>
      </c>
      <c r="B649" s="3" t="str">
        <f>"00041418"</f>
        <v>00041418</v>
      </c>
    </row>
    <row r="650" spans="1:2" x14ac:dyDescent="0.25">
      <c r="A650" s="4">
        <v>645</v>
      </c>
      <c r="B650" s="3" t="str">
        <f>"00041476"</f>
        <v>00041476</v>
      </c>
    </row>
    <row r="651" spans="1:2" x14ac:dyDescent="0.25">
      <c r="A651" s="4">
        <v>646</v>
      </c>
      <c r="B651" s="3" t="str">
        <f>"00041540"</f>
        <v>00041540</v>
      </c>
    </row>
    <row r="652" spans="1:2" x14ac:dyDescent="0.25">
      <c r="A652" s="4">
        <v>647</v>
      </c>
      <c r="B652" s="3" t="str">
        <f>"00041548"</f>
        <v>00041548</v>
      </c>
    </row>
    <row r="653" spans="1:2" x14ac:dyDescent="0.25">
      <c r="A653" s="4">
        <v>648</v>
      </c>
      <c r="B653" s="3" t="str">
        <f>"00041586"</f>
        <v>00041586</v>
      </c>
    </row>
    <row r="654" spans="1:2" x14ac:dyDescent="0.25">
      <c r="A654" s="4">
        <v>649</v>
      </c>
      <c r="B654" s="3" t="str">
        <f>"00041596"</f>
        <v>00041596</v>
      </c>
    </row>
    <row r="655" spans="1:2" x14ac:dyDescent="0.25">
      <c r="A655" s="4">
        <v>650</v>
      </c>
      <c r="B655" s="3" t="str">
        <f>"00041598"</f>
        <v>00041598</v>
      </c>
    </row>
    <row r="656" spans="1:2" x14ac:dyDescent="0.25">
      <c r="A656" s="4">
        <v>651</v>
      </c>
      <c r="B656" s="3" t="str">
        <f>"00041615"</f>
        <v>00041615</v>
      </c>
    </row>
    <row r="657" spans="1:2" x14ac:dyDescent="0.25">
      <c r="A657" s="4">
        <v>652</v>
      </c>
      <c r="B657" s="3" t="str">
        <f>"00041620"</f>
        <v>00041620</v>
      </c>
    </row>
    <row r="658" spans="1:2" x14ac:dyDescent="0.25">
      <c r="A658" s="4">
        <v>653</v>
      </c>
      <c r="B658" s="3" t="str">
        <f>"00041626"</f>
        <v>00041626</v>
      </c>
    </row>
    <row r="659" spans="1:2" x14ac:dyDescent="0.25">
      <c r="A659" s="4">
        <v>654</v>
      </c>
      <c r="B659" s="3" t="str">
        <f>"00041630"</f>
        <v>00041630</v>
      </c>
    </row>
    <row r="660" spans="1:2" x14ac:dyDescent="0.25">
      <c r="A660" s="4">
        <v>655</v>
      </c>
      <c r="B660" s="3" t="str">
        <f>"00041642"</f>
        <v>00041642</v>
      </c>
    </row>
    <row r="661" spans="1:2" x14ac:dyDescent="0.25">
      <c r="A661" s="4">
        <v>656</v>
      </c>
      <c r="B661" s="3" t="str">
        <f>"00041665"</f>
        <v>00041665</v>
      </c>
    </row>
    <row r="662" spans="1:2" x14ac:dyDescent="0.25">
      <c r="A662" s="4">
        <v>657</v>
      </c>
      <c r="B662" s="3" t="str">
        <f>"00041716"</f>
        <v>00041716</v>
      </c>
    </row>
    <row r="663" spans="1:2" x14ac:dyDescent="0.25">
      <c r="A663" s="4">
        <v>658</v>
      </c>
      <c r="B663" s="3" t="str">
        <f>"00041720"</f>
        <v>00041720</v>
      </c>
    </row>
    <row r="664" spans="1:2" x14ac:dyDescent="0.25">
      <c r="A664" s="4">
        <v>659</v>
      </c>
      <c r="B664" s="3" t="str">
        <f>"00041931"</f>
        <v>00041931</v>
      </c>
    </row>
    <row r="665" spans="1:2" x14ac:dyDescent="0.25">
      <c r="A665" s="4">
        <v>660</v>
      </c>
      <c r="B665" s="3" t="str">
        <f>"00041961"</f>
        <v>00041961</v>
      </c>
    </row>
    <row r="666" spans="1:2" x14ac:dyDescent="0.25">
      <c r="A666" s="4">
        <v>661</v>
      </c>
      <c r="B666" s="3" t="str">
        <f>"00041988"</f>
        <v>00041988</v>
      </c>
    </row>
    <row r="667" spans="1:2" x14ac:dyDescent="0.25">
      <c r="A667" s="4">
        <v>662</v>
      </c>
      <c r="B667" s="3" t="str">
        <f>"00042009"</f>
        <v>00042009</v>
      </c>
    </row>
    <row r="668" spans="1:2" x14ac:dyDescent="0.25">
      <c r="A668" s="4">
        <v>663</v>
      </c>
      <c r="B668" s="3" t="str">
        <f>"00042041"</f>
        <v>00042041</v>
      </c>
    </row>
    <row r="669" spans="1:2" x14ac:dyDescent="0.25">
      <c r="A669" s="4">
        <v>664</v>
      </c>
      <c r="B669" s="3" t="str">
        <f>"00042048"</f>
        <v>00042048</v>
      </c>
    </row>
    <row r="670" spans="1:2" x14ac:dyDescent="0.25">
      <c r="A670" s="4">
        <v>665</v>
      </c>
      <c r="B670" s="3" t="str">
        <f>"00042073"</f>
        <v>00042073</v>
      </c>
    </row>
    <row r="671" spans="1:2" x14ac:dyDescent="0.25">
      <c r="A671" s="4">
        <v>666</v>
      </c>
      <c r="B671" s="3" t="str">
        <f>"00042089"</f>
        <v>00042089</v>
      </c>
    </row>
    <row r="672" spans="1:2" x14ac:dyDescent="0.25">
      <c r="A672" s="4">
        <v>667</v>
      </c>
      <c r="B672" s="3" t="str">
        <f>"00042136"</f>
        <v>00042136</v>
      </c>
    </row>
    <row r="673" spans="1:2" x14ac:dyDescent="0.25">
      <c r="A673" s="4">
        <v>668</v>
      </c>
      <c r="B673" s="3" t="str">
        <f>"00042174"</f>
        <v>00042174</v>
      </c>
    </row>
    <row r="674" spans="1:2" x14ac:dyDescent="0.25">
      <c r="A674" s="4">
        <v>669</v>
      </c>
      <c r="B674" s="3" t="str">
        <f>"00042177"</f>
        <v>00042177</v>
      </c>
    </row>
    <row r="675" spans="1:2" x14ac:dyDescent="0.25">
      <c r="A675" s="4">
        <v>670</v>
      </c>
      <c r="B675" s="3" t="str">
        <f>"00042274"</f>
        <v>00042274</v>
      </c>
    </row>
    <row r="676" spans="1:2" x14ac:dyDescent="0.25">
      <c r="A676" s="4">
        <v>671</v>
      </c>
      <c r="B676" s="3" t="str">
        <f>"00042380"</f>
        <v>00042380</v>
      </c>
    </row>
    <row r="677" spans="1:2" x14ac:dyDescent="0.25">
      <c r="A677" s="4">
        <v>672</v>
      </c>
      <c r="B677" s="3" t="str">
        <f>"00042410"</f>
        <v>00042410</v>
      </c>
    </row>
    <row r="678" spans="1:2" x14ac:dyDescent="0.25">
      <c r="A678" s="4">
        <v>673</v>
      </c>
      <c r="B678" s="3" t="str">
        <f>"00042418"</f>
        <v>00042418</v>
      </c>
    </row>
    <row r="679" spans="1:2" x14ac:dyDescent="0.25">
      <c r="A679" s="4">
        <v>674</v>
      </c>
      <c r="B679" s="3" t="str">
        <f>"00042443"</f>
        <v>00042443</v>
      </c>
    </row>
    <row r="680" spans="1:2" x14ac:dyDescent="0.25">
      <c r="A680" s="4">
        <v>675</v>
      </c>
      <c r="B680" s="3" t="str">
        <f>"00042457"</f>
        <v>00042457</v>
      </c>
    </row>
    <row r="681" spans="1:2" x14ac:dyDescent="0.25">
      <c r="A681" s="4">
        <v>676</v>
      </c>
      <c r="B681" s="3" t="str">
        <f>"00042466"</f>
        <v>00042466</v>
      </c>
    </row>
    <row r="682" spans="1:2" x14ac:dyDescent="0.25">
      <c r="A682" s="4">
        <v>677</v>
      </c>
      <c r="B682" s="3" t="str">
        <f>"00042541"</f>
        <v>00042541</v>
      </c>
    </row>
    <row r="683" spans="1:2" x14ac:dyDescent="0.25">
      <c r="A683" s="4">
        <v>678</v>
      </c>
      <c r="B683" s="3" t="str">
        <f>"00042545"</f>
        <v>00042545</v>
      </c>
    </row>
    <row r="684" spans="1:2" x14ac:dyDescent="0.25">
      <c r="A684" s="4">
        <v>679</v>
      </c>
      <c r="B684" s="3" t="str">
        <f>"00042638"</f>
        <v>00042638</v>
      </c>
    </row>
    <row r="685" spans="1:2" x14ac:dyDescent="0.25">
      <c r="A685" s="4">
        <v>680</v>
      </c>
      <c r="B685" s="3" t="str">
        <f>"00042708"</f>
        <v>00042708</v>
      </c>
    </row>
    <row r="686" spans="1:2" x14ac:dyDescent="0.25">
      <c r="A686" s="4">
        <v>681</v>
      </c>
      <c r="B686" s="3" t="str">
        <f>"00042788"</f>
        <v>00042788</v>
      </c>
    </row>
    <row r="687" spans="1:2" x14ac:dyDescent="0.25">
      <c r="A687" s="4">
        <v>682</v>
      </c>
      <c r="B687" s="3" t="str">
        <f>"00042826"</f>
        <v>00042826</v>
      </c>
    </row>
    <row r="688" spans="1:2" x14ac:dyDescent="0.25">
      <c r="A688" s="4">
        <v>683</v>
      </c>
      <c r="B688" s="3" t="str">
        <f>"00042942"</f>
        <v>00042942</v>
      </c>
    </row>
    <row r="689" spans="1:2" x14ac:dyDescent="0.25">
      <c r="A689" s="4">
        <v>684</v>
      </c>
      <c r="B689" s="3" t="str">
        <f>"00043062"</f>
        <v>00043062</v>
      </c>
    </row>
    <row r="690" spans="1:2" x14ac:dyDescent="0.25">
      <c r="A690" s="4">
        <v>685</v>
      </c>
      <c r="B690" s="3" t="str">
        <f>"00043373"</f>
        <v>00043373</v>
      </c>
    </row>
    <row r="691" spans="1:2" x14ac:dyDescent="0.25">
      <c r="A691" s="4">
        <v>686</v>
      </c>
      <c r="B691" s="3" t="str">
        <f>"00043461"</f>
        <v>00043461</v>
      </c>
    </row>
    <row r="692" spans="1:2" x14ac:dyDescent="0.25">
      <c r="A692" s="4">
        <v>687</v>
      </c>
      <c r="B692" s="3" t="str">
        <f>"00043495"</f>
        <v>00043495</v>
      </c>
    </row>
    <row r="693" spans="1:2" x14ac:dyDescent="0.25">
      <c r="A693" s="4">
        <v>688</v>
      </c>
      <c r="B693" s="3" t="str">
        <f>"00043499"</f>
        <v>00043499</v>
      </c>
    </row>
    <row r="694" spans="1:2" x14ac:dyDescent="0.25">
      <c r="A694" s="4">
        <v>689</v>
      </c>
      <c r="B694" s="3" t="str">
        <f>"00043561"</f>
        <v>00043561</v>
      </c>
    </row>
    <row r="695" spans="1:2" x14ac:dyDescent="0.25">
      <c r="A695" s="4">
        <v>690</v>
      </c>
      <c r="B695" s="3" t="str">
        <f>"00043621"</f>
        <v>00043621</v>
      </c>
    </row>
    <row r="696" spans="1:2" x14ac:dyDescent="0.25">
      <c r="A696" s="4">
        <v>691</v>
      </c>
      <c r="B696" s="3" t="str">
        <f>"00043637"</f>
        <v>00043637</v>
      </c>
    </row>
    <row r="697" spans="1:2" x14ac:dyDescent="0.25">
      <c r="A697" s="4">
        <v>692</v>
      </c>
      <c r="B697" s="3" t="str">
        <f>"00043648"</f>
        <v>00043648</v>
      </c>
    </row>
    <row r="698" spans="1:2" x14ac:dyDescent="0.25">
      <c r="A698" s="4">
        <v>693</v>
      </c>
      <c r="B698" s="3" t="str">
        <f>"00043650"</f>
        <v>00043650</v>
      </c>
    </row>
    <row r="699" spans="1:2" x14ac:dyDescent="0.25">
      <c r="A699" s="4">
        <v>694</v>
      </c>
      <c r="B699" s="3" t="str">
        <f>"00043709"</f>
        <v>00043709</v>
      </c>
    </row>
    <row r="700" spans="1:2" x14ac:dyDescent="0.25">
      <c r="A700" s="4">
        <v>695</v>
      </c>
      <c r="B700" s="3" t="str">
        <f>"00043941"</f>
        <v>00043941</v>
      </c>
    </row>
    <row r="701" spans="1:2" x14ac:dyDescent="0.25">
      <c r="A701" s="4">
        <v>696</v>
      </c>
      <c r="B701" s="3" t="str">
        <f>"00043964"</f>
        <v>00043964</v>
      </c>
    </row>
    <row r="702" spans="1:2" x14ac:dyDescent="0.25">
      <c r="A702" s="4">
        <v>697</v>
      </c>
      <c r="B702" s="3" t="str">
        <f>"00043968"</f>
        <v>00043968</v>
      </c>
    </row>
    <row r="703" spans="1:2" x14ac:dyDescent="0.25">
      <c r="A703" s="4">
        <v>698</v>
      </c>
      <c r="B703" s="3" t="str">
        <f>"00044215"</f>
        <v>00044215</v>
      </c>
    </row>
    <row r="704" spans="1:2" x14ac:dyDescent="0.25">
      <c r="A704" s="4">
        <v>699</v>
      </c>
      <c r="B704" s="3" t="str">
        <f>"00044266"</f>
        <v>00044266</v>
      </c>
    </row>
    <row r="705" spans="1:2" x14ac:dyDescent="0.25">
      <c r="A705" s="4">
        <v>700</v>
      </c>
      <c r="B705" s="3" t="str">
        <f>"00044367"</f>
        <v>00044367</v>
      </c>
    </row>
    <row r="706" spans="1:2" x14ac:dyDescent="0.25">
      <c r="A706" s="4">
        <v>701</v>
      </c>
      <c r="B706" s="3" t="str">
        <f>"00044379"</f>
        <v>00044379</v>
      </c>
    </row>
    <row r="707" spans="1:2" x14ac:dyDescent="0.25">
      <c r="A707" s="4">
        <v>702</v>
      </c>
      <c r="B707" s="3" t="str">
        <f>"00044430"</f>
        <v>00044430</v>
      </c>
    </row>
    <row r="708" spans="1:2" x14ac:dyDescent="0.25">
      <c r="A708" s="4">
        <v>703</v>
      </c>
      <c r="B708" s="3" t="str">
        <f>"00044455"</f>
        <v>00044455</v>
      </c>
    </row>
    <row r="709" spans="1:2" x14ac:dyDescent="0.25">
      <c r="A709" s="4">
        <v>704</v>
      </c>
      <c r="B709" s="3" t="str">
        <f>"00044507"</f>
        <v>00044507</v>
      </c>
    </row>
    <row r="710" spans="1:2" x14ac:dyDescent="0.25">
      <c r="A710" s="4">
        <v>705</v>
      </c>
      <c r="B710" s="3" t="str">
        <f>"00044533"</f>
        <v>00044533</v>
      </c>
    </row>
    <row r="711" spans="1:2" x14ac:dyDescent="0.25">
      <c r="A711" s="4">
        <v>706</v>
      </c>
      <c r="B711" s="3" t="str">
        <f>"00044569"</f>
        <v>00044569</v>
      </c>
    </row>
    <row r="712" spans="1:2" x14ac:dyDescent="0.25">
      <c r="A712" s="4">
        <v>707</v>
      </c>
      <c r="B712" s="3" t="str">
        <f>"00044603"</f>
        <v>00044603</v>
      </c>
    </row>
    <row r="713" spans="1:2" x14ac:dyDescent="0.25">
      <c r="A713" s="4">
        <v>708</v>
      </c>
      <c r="B713" s="3" t="str">
        <f>"00044673"</f>
        <v>00044673</v>
      </c>
    </row>
    <row r="714" spans="1:2" x14ac:dyDescent="0.25">
      <c r="A714" s="4">
        <v>709</v>
      </c>
      <c r="B714" s="3" t="str">
        <f>"00044708"</f>
        <v>00044708</v>
      </c>
    </row>
    <row r="715" spans="1:2" x14ac:dyDescent="0.25">
      <c r="A715" s="4">
        <v>710</v>
      </c>
      <c r="B715" s="3" t="str">
        <f>"00044789"</f>
        <v>00044789</v>
      </c>
    </row>
    <row r="716" spans="1:2" x14ac:dyDescent="0.25">
      <c r="A716" s="4">
        <v>711</v>
      </c>
      <c r="B716" s="3" t="str">
        <f>"00044812"</f>
        <v>00044812</v>
      </c>
    </row>
    <row r="717" spans="1:2" x14ac:dyDescent="0.25">
      <c r="A717" s="4">
        <v>712</v>
      </c>
      <c r="B717" s="3" t="str">
        <f>"00044851"</f>
        <v>00044851</v>
      </c>
    </row>
    <row r="718" spans="1:2" x14ac:dyDescent="0.25">
      <c r="A718" s="4">
        <v>713</v>
      </c>
      <c r="B718" s="3" t="str">
        <f>"00044877"</f>
        <v>00044877</v>
      </c>
    </row>
    <row r="719" spans="1:2" x14ac:dyDescent="0.25">
      <c r="A719" s="4">
        <v>714</v>
      </c>
      <c r="B719" s="3" t="str">
        <f>"00044887"</f>
        <v>00044887</v>
      </c>
    </row>
    <row r="720" spans="1:2" x14ac:dyDescent="0.25">
      <c r="A720" s="4">
        <v>715</v>
      </c>
      <c r="B720" s="3" t="str">
        <f>"00044910"</f>
        <v>00044910</v>
      </c>
    </row>
    <row r="721" spans="1:2" x14ac:dyDescent="0.25">
      <c r="A721" s="4">
        <v>716</v>
      </c>
      <c r="B721" s="3" t="str">
        <f>"00044957"</f>
        <v>00044957</v>
      </c>
    </row>
    <row r="722" spans="1:2" x14ac:dyDescent="0.25">
      <c r="A722" s="4">
        <v>717</v>
      </c>
      <c r="B722" s="3" t="str">
        <f>"00044977"</f>
        <v>00044977</v>
      </c>
    </row>
    <row r="723" spans="1:2" x14ac:dyDescent="0.25">
      <c r="A723" s="4">
        <v>718</v>
      </c>
      <c r="B723" s="3" t="str">
        <f>"00044988"</f>
        <v>00044988</v>
      </c>
    </row>
    <row r="724" spans="1:2" x14ac:dyDescent="0.25">
      <c r="A724" s="4">
        <v>719</v>
      </c>
      <c r="B724" s="3" t="str">
        <f>"00045027"</f>
        <v>00045027</v>
      </c>
    </row>
    <row r="725" spans="1:2" x14ac:dyDescent="0.25">
      <c r="A725" s="4">
        <v>720</v>
      </c>
      <c r="B725" s="3" t="str">
        <f>"00045057"</f>
        <v>00045057</v>
      </c>
    </row>
    <row r="726" spans="1:2" x14ac:dyDescent="0.25">
      <c r="A726" s="4">
        <v>721</v>
      </c>
      <c r="B726" s="3" t="str">
        <f>"00045105"</f>
        <v>00045105</v>
      </c>
    </row>
    <row r="727" spans="1:2" x14ac:dyDescent="0.25">
      <c r="A727" s="4">
        <v>722</v>
      </c>
      <c r="B727" s="3" t="str">
        <f>"00045108"</f>
        <v>00045108</v>
      </c>
    </row>
    <row r="728" spans="1:2" x14ac:dyDescent="0.25">
      <c r="A728" s="4">
        <v>723</v>
      </c>
      <c r="B728" s="3" t="str">
        <f>"00045122"</f>
        <v>00045122</v>
      </c>
    </row>
    <row r="729" spans="1:2" x14ac:dyDescent="0.25">
      <c r="A729" s="4">
        <v>724</v>
      </c>
      <c r="B729" s="3" t="str">
        <f>"00045157"</f>
        <v>00045157</v>
      </c>
    </row>
    <row r="730" spans="1:2" x14ac:dyDescent="0.25">
      <c r="A730" s="4">
        <v>725</v>
      </c>
      <c r="B730" s="3" t="str">
        <f>"00045237"</f>
        <v>00045237</v>
      </c>
    </row>
    <row r="731" spans="1:2" x14ac:dyDescent="0.25">
      <c r="A731" s="4">
        <v>726</v>
      </c>
      <c r="B731" s="3" t="str">
        <f>"00045266"</f>
        <v>00045266</v>
      </c>
    </row>
    <row r="732" spans="1:2" x14ac:dyDescent="0.25">
      <c r="A732" s="4">
        <v>727</v>
      </c>
      <c r="B732" s="3" t="str">
        <f>"00045270"</f>
        <v>00045270</v>
      </c>
    </row>
    <row r="733" spans="1:2" x14ac:dyDescent="0.25">
      <c r="A733" s="4">
        <v>728</v>
      </c>
      <c r="B733" s="3" t="str">
        <f>"00045323"</f>
        <v>00045323</v>
      </c>
    </row>
    <row r="734" spans="1:2" x14ac:dyDescent="0.25">
      <c r="A734" s="4">
        <v>729</v>
      </c>
      <c r="B734" s="3" t="str">
        <f>"00045401"</f>
        <v>00045401</v>
      </c>
    </row>
    <row r="735" spans="1:2" x14ac:dyDescent="0.25">
      <c r="A735" s="4">
        <v>730</v>
      </c>
      <c r="B735" s="3" t="str">
        <f>"00045448"</f>
        <v>00045448</v>
      </c>
    </row>
    <row r="736" spans="1:2" x14ac:dyDescent="0.25">
      <c r="A736" s="4">
        <v>731</v>
      </c>
      <c r="B736" s="3" t="str">
        <f>"00045511"</f>
        <v>00045511</v>
      </c>
    </row>
    <row r="737" spans="1:2" x14ac:dyDescent="0.25">
      <c r="A737" s="4">
        <v>732</v>
      </c>
      <c r="B737" s="3" t="str">
        <f>"00045574"</f>
        <v>00045574</v>
      </c>
    </row>
    <row r="738" spans="1:2" x14ac:dyDescent="0.25">
      <c r="A738" s="4">
        <v>733</v>
      </c>
      <c r="B738" s="3" t="str">
        <f>"00045645"</f>
        <v>00045645</v>
      </c>
    </row>
    <row r="739" spans="1:2" x14ac:dyDescent="0.25">
      <c r="A739" s="4">
        <v>734</v>
      </c>
      <c r="B739" s="3" t="str">
        <f>"00045727"</f>
        <v>00045727</v>
      </c>
    </row>
    <row r="740" spans="1:2" x14ac:dyDescent="0.25">
      <c r="A740" s="4">
        <v>735</v>
      </c>
      <c r="B740" s="3" t="str">
        <f>"00045744"</f>
        <v>00045744</v>
      </c>
    </row>
    <row r="741" spans="1:2" x14ac:dyDescent="0.25">
      <c r="A741" s="4">
        <v>736</v>
      </c>
      <c r="B741" s="3" t="str">
        <f>"00045790"</f>
        <v>00045790</v>
      </c>
    </row>
    <row r="742" spans="1:2" x14ac:dyDescent="0.25">
      <c r="A742" s="4">
        <v>737</v>
      </c>
      <c r="B742" s="3" t="str">
        <f>"00045803"</f>
        <v>00045803</v>
      </c>
    </row>
    <row r="743" spans="1:2" x14ac:dyDescent="0.25">
      <c r="A743" s="4">
        <v>738</v>
      </c>
      <c r="B743" s="3" t="str">
        <f>"00045807"</f>
        <v>00045807</v>
      </c>
    </row>
    <row r="744" spans="1:2" x14ac:dyDescent="0.25">
      <c r="A744" s="4">
        <v>739</v>
      </c>
      <c r="B744" s="3" t="str">
        <f>"00045853"</f>
        <v>00045853</v>
      </c>
    </row>
    <row r="745" spans="1:2" x14ac:dyDescent="0.25">
      <c r="A745" s="4">
        <v>740</v>
      </c>
      <c r="B745" s="3" t="str">
        <f>"00045856"</f>
        <v>00045856</v>
      </c>
    </row>
    <row r="746" spans="1:2" x14ac:dyDescent="0.25">
      <c r="A746" s="4">
        <v>741</v>
      </c>
      <c r="B746" s="3" t="str">
        <f>"00045899"</f>
        <v>00045899</v>
      </c>
    </row>
    <row r="747" spans="1:2" x14ac:dyDescent="0.25">
      <c r="A747" s="4">
        <v>742</v>
      </c>
      <c r="B747" s="3" t="str">
        <f>"00045905"</f>
        <v>00045905</v>
      </c>
    </row>
    <row r="748" spans="1:2" x14ac:dyDescent="0.25">
      <c r="A748" s="4">
        <v>743</v>
      </c>
      <c r="B748" s="3" t="str">
        <f>"00045929"</f>
        <v>00045929</v>
      </c>
    </row>
    <row r="749" spans="1:2" x14ac:dyDescent="0.25">
      <c r="A749" s="4">
        <v>744</v>
      </c>
      <c r="B749" s="3" t="str">
        <f>"00046003"</f>
        <v>00046003</v>
      </c>
    </row>
    <row r="750" spans="1:2" x14ac:dyDescent="0.25">
      <c r="A750" s="4">
        <v>745</v>
      </c>
      <c r="B750" s="3" t="str">
        <f>"00046013"</f>
        <v>00046013</v>
      </c>
    </row>
    <row r="751" spans="1:2" x14ac:dyDescent="0.25">
      <c r="A751" s="4">
        <v>746</v>
      </c>
      <c r="B751" s="3" t="str">
        <f>"00046070"</f>
        <v>00046070</v>
      </c>
    </row>
    <row r="752" spans="1:2" x14ac:dyDescent="0.25">
      <c r="A752" s="4">
        <v>747</v>
      </c>
      <c r="B752" s="3" t="str">
        <f>"00046115"</f>
        <v>00046115</v>
      </c>
    </row>
    <row r="753" spans="1:2" x14ac:dyDescent="0.25">
      <c r="A753" s="4">
        <v>748</v>
      </c>
      <c r="B753" s="3" t="str">
        <f>"00046164"</f>
        <v>00046164</v>
      </c>
    </row>
    <row r="754" spans="1:2" x14ac:dyDescent="0.25">
      <c r="A754" s="4">
        <v>749</v>
      </c>
      <c r="B754" s="3" t="str">
        <f>"00046165"</f>
        <v>00046165</v>
      </c>
    </row>
    <row r="755" spans="1:2" x14ac:dyDescent="0.25">
      <c r="A755" s="4">
        <v>750</v>
      </c>
      <c r="B755" s="3" t="str">
        <f>"00046228"</f>
        <v>00046228</v>
      </c>
    </row>
    <row r="756" spans="1:2" x14ac:dyDescent="0.25">
      <c r="A756" s="4">
        <v>751</v>
      </c>
      <c r="B756" s="3" t="str">
        <f>"00046230"</f>
        <v>00046230</v>
      </c>
    </row>
    <row r="757" spans="1:2" x14ac:dyDescent="0.25">
      <c r="A757" s="4">
        <v>752</v>
      </c>
      <c r="B757" s="3" t="str">
        <f>"00046323"</f>
        <v>00046323</v>
      </c>
    </row>
    <row r="758" spans="1:2" x14ac:dyDescent="0.25">
      <c r="A758" s="4">
        <v>753</v>
      </c>
      <c r="B758" s="3" t="str">
        <f>"00046351"</f>
        <v>00046351</v>
      </c>
    </row>
    <row r="759" spans="1:2" x14ac:dyDescent="0.25">
      <c r="A759" s="4">
        <v>754</v>
      </c>
      <c r="B759" s="3" t="str">
        <f>"00046381"</f>
        <v>00046381</v>
      </c>
    </row>
    <row r="760" spans="1:2" x14ac:dyDescent="0.25">
      <c r="A760" s="4">
        <v>755</v>
      </c>
      <c r="B760" s="3" t="str">
        <f>"00046439"</f>
        <v>00046439</v>
      </c>
    </row>
    <row r="761" spans="1:2" x14ac:dyDescent="0.25">
      <c r="A761" s="4">
        <v>756</v>
      </c>
      <c r="B761" s="3" t="str">
        <f>"00046442"</f>
        <v>00046442</v>
      </c>
    </row>
    <row r="762" spans="1:2" x14ac:dyDescent="0.25">
      <c r="A762" s="4">
        <v>757</v>
      </c>
      <c r="B762" s="3" t="str">
        <f>"00046474"</f>
        <v>00046474</v>
      </c>
    </row>
    <row r="763" spans="1:2" x14ac:dyDescent="0.25">
      <c r="A763" s="4">
        <v>758</v>
      </c>
      <c r="B763" s="3" t="str">
        <f>"00046541"</f>
        <v>00046541</v>
      </c>
    </row>
    <row r="764" spans="1:2" x14ac:dyDescent="0.25">
      <c r="A764" s="4">
        <v>759</v>
      </c>
      <c r="B764" s="3" t="str">
        <f>"00046591"</f>
        <v>00046591</v>
      </c>
    </row>
    <row r="765" spans="1:2" x14ac:dyDescent="0.25">
      <c r="A765" s="4">
        <v>760</v>
      </c>
      <c r="B765" s="3" t="str">
        <f>"00046629"</f>
        <v>00046629</v>
      </c>
    </row>
    <row r="766" spans="1:2" x14ac:dyDescent="0.25">
      <c r="A766" s="4">
        <v>761</v>
      </c>
      <c r="B766" s="3" t="str">
        <f>"00046649"</f>
        <v>00046649</v>
      </c>
    </row>
    <row r="767" spans="1:2" x14ac:dyDescent="0.25">
      <c r="A767" s="4">
        <v>762</v>
      </c>
      <c r="B767" s="3" t="str">
        <f>"00046681"</f>
        <v>00046681</v>
      </c>
    </row>
    <row r="768" spans="1:2" x14ac:dyDescent="0.25">
      <c r="A768" s="4">
        <v>763</v>
      </c>
      <c r="B768" s="3" t="str">
        <f>"00046702"</f>
        <v>00046702</v>
      </c>
    </row>
    <row r="769" spans="1:2" x14ac:dyDescent="0.25">
      <c r="A769" s="4">
        <v>764</v>
      </c>
      <c r="B769" s="3" t="str">
        <f>"00046711"</f>
        <v>00046711</v>
      </c>
    </row>
    <row r="770" spans="1:2" x14ac:dyDescent="0.25">
      <c r="A770" s="4">
        <v>765</v>
      </c>
      <c r="B770" s="3" t="str">
        <f>"00046760"</f>
        <v>00046760</v>
      </c>
    </row>
    <row r="771" spans="1:2" x14ac:dyDescent="0.25">
      <c r="A771" s="4">
        <v>766</v>
      </c>
      <c r="B771" s="3" t="str">
        <f>"00046803"</f>
        <v>00046803</v>
      </c>
    </row>
    <row r="772" spans="1:2" x14ac:dyDescent="0.25">
      <c r="A772" s="4">
        <v>767</v>
      </c>
      <c r="B772" s="3" t="str">
        <f>"00046845"</f>
        <v>00046845</v>
      </c>
    </row>
    <row r="773" spans="1:2" x14ac:dyDescent="0.25">
      <c r="A773" s="4">
        <v>768</v>
      </c>
      <c r="B773" s="3" t="str">
        <f>"00046851"</f>
        <v>00046851</v>
      </c>
    </row>
    <row r="774" spans="1:2" x14ac:dyDescent="0.25">
      <c r="A774" s="4">
        <v>769</v>
      </c>
      <c r="B774" s="3" t="str">
        <f>"00046882"</f>
        <v>00046882</v>
      </c>
    </row>
    <row r="775" spans="1:2" x14ac:dyDescent="0.25">
      <c r="A775" s="4">
        <v>770</v>
      </c>
      <c r="B775" s="3" t="str">
        <f>"00046884"</f>
        <v>00046884</v>
      </c>
    </row>
    <row r="776" spans="1:2" x14ac:dyDescent="0.25">
      <c r="A776" s="4">
        <v>771</v>
      </c>
      <c r="B776" s="3" t="str">
        <f>"00046886"</f>
        <v>00046886</v>
      </c>
    </row>
    <row r="777" spans="1:2" x14ac:dyDescent="0.25">
      <c r="A777" s="4">
        <v>772</v>
      </c>
      <c r="B777" s="3" t="str">
        <f>"00046914"</f>
        <v>00046914</v>
      </c>
    </row>
    <row r="778" spans="1:2" x14ac:dyDescent="0.25">
      <c r="A778" s="4">
        <v>773</v>
      </c>
      <c r="B778" s="3" t="str">
        <f>"00046917"</f>
        <v>00046917</v>
      </c>
    </row>
    <row r="779" spans="1:2" x14ac:dyDescent="0.25">
      <c r="A779" s="4">
        <v>774</v>
      </c>
      <c r="B779" s="3" t="str">
        <f>"00046924"</f>
        <v>00046924</v>
      </c>
    </row>
    <row r="780" spans="1:2" x14ac:dyDescent="0.25">
      <c r="A780" s="4">
        <v>775</v>
      </c>
      <c r="B780" s="3" t="str">
        <f>"00046925"</f>
        <v>00046925</v>
      </c>
    </row>
    <row r="781" spans="1:2" x14ac:dyDescent="0.25">
      <c r="A781" s="4">
        <v>776</v>
      </c>
      <c r="B781" s="3" t="str">
        <f>"00047025"</f>
        <v>00047025</v>
      </c>
    </row>
    <row r="782" spans="1:2" x14ac:dyDescent="0.25">
      <c r="A782" s="4">
        <v>777</v>
      </c>
      <c r="B782" s="3" t="str">
        <f>"00047026"</f>
        <v>00047026</v>
      </c>
    </row>
    <row r="783" spans="1:2" x14ac:dyDescent="0.25">
      <c r="A783" s="4">
        <v>778</v>
      </c>
      <c r="B783" s="3" t="str">
        <f>"00047047"</f>
        <v>00047047</v>
      </c>
    </row>
    <row r="784" spans="1:2" x14ac:dyDescent="0.25">
      <c r="A784" s="4">
        <v>779</v>
      </c>
      <c r="B784" s="3" t="str">
        <f>"00047056"</f>
        <v>00047056</v>
      </c>
    </row>
    <row r="785" spans="1:2" x14ac:dyDescent="0.25">
      <c r="A785" s="4">
        <v>780</v>
      </c>
      <c r="B785" s="3" t="str">
        <f>"00047147"</f>
        <v>00047147</v>
      </c>
    </row>
    <row r="786" spans="1:2" x14ac:dyDescent="0.25">
      <c r="A786" s="4">
        <v>781</v>
      </c>
      <c r="B786" s="3" t="str">
        <f>"00047468"</f>
        <v>00047468</v>
      </c>
    </row>
    <row r="787" spans="1:2" x14ac:dyDescent="0.25">
      <c r="A787" s="4">
        <v>782</v>
      </c>
      <c r="B787" s="3" t="str">
        <f>"00047478"</f>
        <v>00047478</v>
      </c>
    </row>
    <row r="788" spans="1:2" x14ac:dyDescent="0.25">
      <c r="A788" s="4">
        <v>783</v>
      </c>
      <c r="B788" s="3" t="str">
        <f>"00047684"</f>
        <v>00047684</v>
      </c>
    </row>
    <row r="789" spans="1:2" x14ac:dyDescent="0.25">
      <c r="A789" s="4">
        <v>784</v>
      </c>
      <c r="B789" s="3" t="str">
        <f>"00047692"</f>
        <v>00047692</v>
      </c>
    </row>
    <row r="790" spans="1:2" x14ac:dyDescent="0.25">
      <c r="A790" s="4">
        <v>785</v>
      </c>
      <c r="B790" s="3" t="str">
        <f>"00047721"</f>
        <v>00047721</v>
      </c>
    </row>
    <row r="791" spans="1:2" x14ac:dyDescent="0.25">
      <c r="A791" s="4">
        <v>786</v>
      </c>
      <c r="B791" s="3" t="str">
        <f>"00047731"</f>
        <v>00047731</v>
      </c>
    </row>
    <row r="792" spans="1:2" x14ac:dyDescent="0.25">
      <c r="A792" s="4">
        <v>787</v>
      </c>
      <c r="B792" s="3" t="str">
        <f>"00047880"</f>
        <v>00047880</v>
      </c>
    </row>
    <row r="793" spans="1:2" x14ac:dyDescent="0.25">
      <c r="A793" s="4">
        <v>788</v>
      </c>
      <c r="B793" s="3" t="str">
        <f>"00048024"</f>
        <v>00048024</v>
      </c>
    </row>
    <row r="794" spans="1:2" x14ac:dyDescent="0.25">
      <c r="A794" s="4">
        <v>789</v>
      </c>
      <c r="B794" s="3" t="str">
        <f>"00048090"</f>
        <v>00048090</v>
      </c>
    </row>
    <row r="795" spans="1:2" x14ac:dyDescent="0.25">
      <c r="A795" s="4">
        <v>790</v>
      </c>
      <c r="B795" s="3" t="str">
        <f>"00048095"</f>
        <v>00048095</v>
      </c>
    </row>
    <row r="796" spans="1:2" x14ac:dyDescent="0.25">
      <c r="A796" s="4">
        <v>791</v>
      </c>
      <c r="B796" s="3" t="str">
        <f>"00048106"</f>
        <v>00048106</v>
      </c>
    </row>
    <row r="797" spans="1:2" x14ac:dyDescent="0.25">
      <c r="A797" s="4">
        <v>792</v>
      </c>
      <c r="B797" s="3" t="str">
        <f>"00048108"</f>
        <v>00048108</v>
      </c>
    </row>
    <row r="798" spans="1:2" x14ac:dyDescent="0.25">
      <c r="A798" s="4">
        <v>793</v>
      </c>
      <c r="B798" s="3" t="str">
        <f>"00048167"</f>
        <v>00048167</v>
      </c>
    </row>
    <row r="799" spans="1:2" x14ac:dyDescent="0.25">
      <c r="A799" s="4">
        <v>794</v>
      </c>
      <c r="B799" s="3" t="str">
        <f>"00048180"</f>
        <v>00048180</v>
      </c>
    </row>
    <row r="800" spans="1:2" x14ac:dyDescent="0.25">
      <c r="A800" s="4">
        <v>795</v>
      </c>
      <c r="B800" s="3" t="str">
        <f>"00048191"</f>
        <v>00048191</v>
      </c>
    </row>
    <row r="801" spans="1:2" x14ac:dyDescent="0.25">
      <c r="A801" s="4">
        <v>796</v>
      </c>
      <c r="B801" s="3" t="str">
        <f>"00048197"</f>
        <v>00048197</v>
      </c>
    </row>
    <row r="802" spans="1:2" x14ac:dyDescent="0.25">
      <c r="A802" s="4">
        <v>797</v>
      </c>
      <c r="B802" s="3" t="str">
        <f>"00048208"</f>
        <v>00048208</v>
      </c>
    </row>
    <row r="803" spans="1:2" x14ac:dyDescent="0.25">
      <c r="A803" s="4">
        <v>798</v>
      </c>
      <c r="B803" s="3" t="str">
        <f>"00048240"</f>
        <v>00048240</v>
      </c>
    </row>
    <row r="804" spans="1:2" x14ac:dyDescent="0.25">
      <c r="A804" s="4">
        <v>799</v>
      </c>
      <c r="B804" s="3" t="str">
        <f>"00048273"</f>
        <v>00048273</v>
      </c>
    </row>
    <row r="805" spans="1:2" x14ac:dyDescent="0.25">
      <c r="A805" s="4">
        <v>800</v>
      </c>
      <c r="B805" s="3" t="str">
        <f>"00048957"</f>
        <v>00048957</v>
      </c>
    </row>
    <row r="806" spans="1:2" x14ac:dyDescent="0.25">
      <c r="A806" s="4">
        <v>801</v>
      </c>
      <c r="B806" s="3" t="str">
        <f>"00048977"</f>
        <v>00048977</v>
      </c>
    </row>
    <row r="807" spans="1:2" x14ac:dyDescent="0.25">
      <c r="A807" s="4">
        <v>802</v>
      </c>
      <c r="B807" s="3" t="str">
        <f>"00048999"</f>
        <v>00048999</v>
      </c>
    </row>
    <row r="808" spans="1:2" x14ac:dyDescent="0.25">
      <c r="A808" s="4">
        <v>803</v>
      </c>
      <c r="B808" s="3" t="str">
        <f>"00049193"</f>
        <v>00049193</v>
      </c>
    </row>
    <row r="809" spans="1:2" x14ac:dyDescent="0.25">
      <c r="A809" s="4">
        <v>804</v>
      </c>
      <c r="B809" s="3" t="str">
        <f>"00049233"</f>
        <v>00049233</v>
      </c>
    </row>
    <row r="810" spans="1:2" x14ac:dyDescent="0.25">
      <c r="A810" s="4">
        <v>805</v>
      </c>
      <c r="B810" s="3" t="str">
        <f>"00049333"</f>
        <v>00049333</v>
      </c>
    </row>
    <row r="811" spans="1:2" x14ac:dyDescent="0.25">
      <c r="A811" s="4">
        <v>806</v>
      </c>
      <c r="B811" s="3" t="str">
        <f>"00049334"</f>
        <v>00049334</v>
      </c>
    </row>
    <row r="812" spans="1:2" x14ac:dyDescent="0.25">
      <c r="A812" s="4">
        <v>807</v>
      </c>
      <c r="B812" s="3" t="str">
        <f>"00049347"</f>
        <v>00049347</v>
      </c>
    </row>
    <row r="813" spans="1:2" x14ac:dyDescent="0.25">
      <c r="A813" s="4">
        <v>808</v>
      </c>
      <c r="B813" s="3" t="str">
        <f>"00049348"</f>
        <v>00049348</v>
      </c>
    </row>
    <row r="814" spans="1:2" x14ac:dyDescent="0.25">
      <c r="A814" s="4">
        <v>809</v>
      </c>
      <c r="B814" s="3" t="str">
        <f>"00049352"</f>
        <v>00049352</v>
      </c>
    </row>
    <row r="815" spans="1:2" x14ac:dyDescent="0.25">
      <c r="A815" s="4">
        <v>810</v>
      </c>
      <c r="B815" s="3" t="str">
        <f>"00049359"</f>
        <v>00049359</v>
      </c>
    </row>
    <row r="816" spans="1:2" x14ac:dyDescent="0.25">
      <c r="A816" s="4">
        <v>811</v>
      </c>
      <c r="B816" s="3" t="str">
        <f>"00049394"</f>
        <v>00049394</v>
      </c>
    </row>
    <row r="817" spans="1:2" x14ac:dyDescent="0.25">
      <c r="A817" s="4">
        <v>812</v>
      </c>
      <c r="B817" s="3" t="str">
        <f>"00049451"</f>
        <v>00049451</v>
      </c>
    </row>
    <row r="818" spans="1:2" x14ac:dyDescent="0.25">
      <c r="A818" s="4">
        <v>813</v>
      </c>
      <c r="B818" s="3" t="str">
        <f>"00049459"</f>
        <v>00049459</v>
      </c>
    </row>
    <row r="819" spans="1:2" x14ac:dyDescent="0.25">
      <c r="A819" s="4">
        <v>814</v>
      </c>
      <c r="B819" s="3" t="str">
        <f>"00049481"</f>
        <v>00049481</v>
      </c>
    </row>
    <row r="820" spans="1:2" x14ac:dyDescent="0.25">
      <c r="A820" s="4">
        <v>815</v>
      </c>
      <c r="B820" s="3" t="str">
        <f>"00049502"</f>
        <v>00049502</v>
      </c>
    </row>
    <row r="821" spans="1:2" x14ac:dyDescent="0.25">
      <c r="A821" s="4">
        <v>816</v>
      </c>
      <c r="B821" s="3" t="str">
        <f>"00049516"</f>
        <v>00049516</v>
      </c>
    </row>
    <row r="822" spans="1:2" x14ac:dyDescent="0.25">
      <c r="A822" s="4">
        <v>817</v>
      </c>
      <c r="B822" s="3" t="str">
        <f>"00049533"</f>
        <v>00049533</v>
      </c>
    </row>
    <row r="823" spans="1:2" x14ac:dyDescent="0.25">
      <c r="A823" s="4">
        <v>818</v>
      </c>
      <c r="B823" s="3" t="str">
        <f>"00049535"</f>
        <v>00049535</v>
      </c>
    </row>
    <row r="824" spans="1:2" x14ac:dyDescent="0.25">
      <c r="A824" s="4">
        <v>819</v>
      </c>
      <c r="B824" s="3" t="str">
        <f>"00049558"</f>
        <v>00049558</v>
      </c>
    </row>
    <row r="825" spans="1:2" x14ac:dyDescent="0.25">
      <c r="A825" s="4">
        <v>820</v>
      </c>
      <c r="B825" s="3" t="str">
        <f>"00049568"</f>
        <v>00049568</v>
      </c>
    </row>
    <row r="826" spans="1:2" x14ac:dyDescent="0.25">
      <c r="A826" s="4">
        <v>821</v>
      </c>
      <c r="B826" s="3" t="str">
        <f>"00049598"</f>
        <v>00049598</v>
      </c>
    </row>
    <row r="827" spans="1:2" x14ac:dyDescent="0.25">
      <c r="A827" s="4">
        <v>822</v>
      </c>
      <c r="B827" s="3" t="str">
        <f>"00049628"</f>
        <v>00049628</v>
      </c>
    </row>
    <row r="828" spans="1:2" x14ac:dyDescent="0.25">
      <c r="A828" s="4">
        <v>823</v>
      </c>
      <c r="B828" s="3" t="str">
        <f>"00049642"</f>
        <v>00049642</v>
      </c>
    </row>
    <row r="829" spans="1:2" x14ac:dyDescent="0.25">
      <c r="A829" s="4">
        <v>824</v>
      </c>
      <c r="B829" s="3" t="str">
        <f>"00049643"</f>
        <v>00049643</v>
      </c>
    </row>
    <row r="830" spans="1:2" x14ac:dyDescent="0.25">
      <c r="A830" s="4">
        <v>825</v>
      </c>
      <c r="B830" s="3" t="str">
        <f>"00049769"</f>
        <v>00049769</v>
      </c>
    </row>
    <row r="831" spans="1:2" x14ac:dyDescent="0.25">
      <c r="A831" s="4">
        <v>826</v>
      </c>
      <c r="B831" s="3" t="str">
        <f>"00049797"</f>
        <v>00049797</v>
      </c>
    </row>
    <row r="832" spans="1:2" x14ac:dyDescent="0.25">
      <c r="A832" s="4">
        <v>827</v>
      </c>
      <c r="B832" s="3" t="str">
        <f>"00049834"</f>
        <v>00049834</v>
      </c>
    </row>
    <row r="833" spans="1:2" x14ac:dyDescent="0.25">
      <c r="A833" s="4">
        <v>828</v>
      </c>
      <c r="B833" s="3" t="str">
        <f>"00049853"</f>
        <v>00049853</v>
      </c>
    </row>
    <row r="834" spans="1:2" x14ac:dyDescent="0.25">
      <c r="A834" s="4">
        <v>829</v>
      </c>
      <c r="B834" s="3" t="str">
        <f>"00049945"</f>
        <v>00049945</v>
      </c>
    </row>
    <row r="835" spans="1:2" x14ac:dyDescent="0.25">
      <c r="A835" s="4">
        <v>830</v>
      </c>
      <c r="B835" s="3" t="str">
        <f>"00049956"</f>
        <v>00049956</v>
      </c>
    </row>
    <row r="836" spans="1:2" x14ac:dyDescent="0.25">
      <c r="A836" s="4">
        <v>831</v>
      </c>
      <c r="B836" s="3" t="str">
        <f>"00049977"</f>
        <v>00049977</v>
      </c>
    </row>
    <row r="837" spans="1:2" x14ac:dyDescent="0.25">
      <c r="A837" s="4">
        <v>832</v>
      </c>
      <c r="B837" s="3" t="str">
        <f>"00049991"</f>
        <v>00049991</v>
      </c>
    </row>
    <row r="838" spans="1:2" x14ac:dyDescent="0.25">
      <c r="A838" s="4">
        <v>833</v>
      </c>
      <c r="B838" s="3" t="str">
        <f>"00050027"</f>
        <v>00050027</v>
      </c>
    </row>
    <row r="839" spans="1:2" x14ac:dyDescent="0.25">
      <c r="A839" s="4">
        <v>834</v>
      </c>
      <c r="B839" s="3" t="str">
        <f>"00050101"</f>
        <v>00050101</v>
      </c>
    </row>
    <row r="840" spans="1:2" x14ac:dyDescent="0.25">
      <c r="A840" s="4">
        <v>835</v>
      </c>
      <c r="B840" s="3" t="str">
        <f>"00050129"</f>
        <v>00050129</v>
      </c>
    </row>
    <row r="841" spans="1:2" x14ac:dyDescent="0.25">
      <c r="A841" s="4">
        <v>836</v>
      </c>
      <c r="B841" s="3" t="str">
        <f>"00050141"</f>
        <v>00050141</v>
      </c>
    </row>
    <row r="842" spans="1:2" x14ac:dyDescent="0.25">
      <c r="A842" s="4">
        <v>837</v>
      </c>
      <c r="B842" s="3" t="str">
        <f>"00050197"</f>
        <v>00050197</v>
      </c>
    </row>
    <row r="843" spans="1:2" x14ac:dyDescent="0.25">
      <c r="A843" s="4">
        <v>838</v>
      </c>
      <c r="B843" s="3" t="str">
        <f>"00050205"</f>
        <v>00050205</v>
      </c>
    </row>
    <row r="844" spans="1:2" x14ac:dyDescent="0.25">
      <c r="A844" s="4">
        <v>839</v>
      </c>
      <c r="B844" s="3" t="str">
        <f>"00050224"</f>
        <v>00050224</v>
      </c>
    </row>
    <row r="845" spans="1:2" x14ac:dyDescent="0.25">
      <c r="A845" s="4">
        <v>840</v>
      </c>
      <c r="B845" s="3" t="str">
        <f>"00050226"</f>
        <v>00050226</v>
      </c>
    </row>
    <row r="846" spans="1:2" x14ac:dyDescent="0.25">
      <c r="A846" s="4">
        <v>841</v>
      </c>
      <c r="B846" s="3" t="str">
        <f>"00050293"</f>
        <v>00050293</v>
      </c>
    </row>
    <row r="847" spans="1:2" x14ac:dyDescent="0.25">
      <c r="A847" s="4">
        <v>842</v>
      </c>
      <c r="B847" s="3" t="str">
        <f>"00050309"</f>
        <v>00050309</v>
      </c>
    </row>
    <row r="848" spans="1:2" x14ac:dyDescent="0.25">
      <c r="A848" s="4">
        <v>843</v>
      </c>
      <c r="B848" s="3" t="str">
        <f>"00050384"</f>
        <v>00050384</v>
      </c>
    </row>
    <row r="849" spans="1:2" x14ac:dyDescent="0.25">
      <c r="A849" s="4">
        <v>844</v>
      </c>
      <c r="B849" s="3" t="str">
        <f>"00050401"</f>
        <v>00050401</v>
      </c>
    </row>
    <row r="850" spans="1:2" x14ac:dyDescent="0.25">
      <c r="A850" s="4">
        <v>845</v>
      </c>
      <c r="B850" s="3" t="str">
        <f>"00050457"</f>
        <v>00050457</v>
      </c>
    </row>
    <row r="851" spans="1:2" x14ac:dyDescent="0.25">
      <c r="A851" s="4">
        <v>846</v>
      </c>
      <c r="B851" s="3" t="str">
        <f>"00050495"</f>
        <v>00050495</v>
      </c>
    </row>
    <row r="852" spans="1:2" x14ac:dyDescent="0.25">
      <c r="A852" s="4">
        <v>847</v>
      </c>
      <c r="B852" s="3" t="str">
        <f>"00050502"</f>
        <v>00050502</v>
      </c>
    </row>
    <row r="853" spans="1:2" x14ac:dyDescent="0.25">
      <c r="A853" s="4">
        <v>848</v>
      </c>
      <c r="B853" s="3" t="str">
        <f>"00050515"</f>
        <v>00050515</v>
      </c>
    </row>
    <row r="854" spans="1:2" x14ac:dyDescent="0.25">
      <c r="A854" s="4">
        <v>849</v>
      </c>
      <c r="B854" s="3" t="str">
        <f>"00050604"</f>
        <v>00050604</v>
      </c>
    </row>
    <row r="855" spans="1:2" x14ac:dyDescent="0.25">
      <c r="A855" s="4">
        <v>850</v>
      </c>
      <c r="B855" s="3" t="str">
        <f>"00050623"</f>
        <v>00050623</v>
      </c>
    </row>
    <row r="856" spans="1:2" x14ac:dyDescent="0.25">
      <c r="A856" s="4">
        <v>851</v>
      </c>
      <c r="B856" s="3" t="str">
        <f>"00050679"</f>
        <v>00050679</v>
      </c>
    </row>
    <row r="857" spans="1:2" x14ac:dyDescent="0.25">
      <c r="A857" s="4">
        <v>852</v>
      </c>
      <c r="B857" s="3" t="str">
        <f>"00050694"</f>
        <v>00050694</v>
      </c>
    </row>
    <row r="858" spans="1:2" x14ac:dyDescent="0.25">
      <c r="A858" s="4">
        <v>853</v>
      </c>
      <c r="B858" s="3" t="str">
        <f>"00050785"</f>
        <v>00050785</v>
      </c>
    </row>
    <row r="859" spans="1:2" x14ac:dyDescent="0.25">
      <c r="A859" s="4">
        <v>854</v>
      </c>
      <c r="B859" s="3" t="str">
        <f>"00050826"</f>
        <v>00050826</v>
      </c>
    </row>
    <row r="860" spans="1:2" x14ac:dyDescent="0.25">
      <c r="A860" s="4">
        <v>855</v>
      </c>
      <c r="B860" s="3" t="str">
        <f>"00050879"</f>
        <v>00050879</v>
      </c>
    </row>
    <row r="861" spans="1:2" x14ac:dyDescent="0.25">
      <c r="A861" s="4">
        <v>856</v>
      </c>
      <c r="B861" s="3" t="str">
        <f>"00050927"</f>
        <v>00050927</v>
      </c>
    </row>
    <row r="862" spans="1:2" x14ac:dyDescent="0.25">
      <c r="A862" s="4">
        <v>857</v>
      </c>
      <c r="B862" s="3" t="str">
        <f>"00051004"</f>
        <v>00051004</v>
      </c>
    </row>
    <row r="863" spans="1:2" x14ac:dyDescent="0.25">
      <c r="A863" s="4">
        <v>858</v>
      </c>
      <c r="B863" s="3" t="str">
        <f>"00051011"</f>
        <v>00051011</v>
      </c>
    </row>
    <row r="864" spans="1:2" x14ac:dyDescent="0.25">
      <c r="A864" s="4">
        <v>859</v>
      </c>
      <c r="B864" s="3" t="str">
        <f>"00051157"</f>
        <v>00051157</v>
      </c>
    </row>
    <row r="865" spans="1:2" x14ac:dyDescent="0.25">
      <c r="A865" s="4">
        <v>860</v>
      </c>
      <c r="B865" s="3" t="str">
        <f>"00051167"</f>
        <v>00051167</v>
      </c>
    </row>
    <row r="866" spans="1:2" x14ac:dyDescent="0.25">
      <c r="A866" s="4">
        <v>861</v>
      </c>
      <c r="B866" s="3" t="str">
        <f>"00051569"</f>
        <v>00051569</v>
      </c>
    </row>
    <row r="867" spans="1:2" x14ac:dyDescent="0.25">
      <c r="A867" s="4">
        <v>862</v>
      </c>
      <c r="B867" s="3" t="str">
        <f>"00051614"</f>
        <v>00051614</v>
      </c>
    </row>
    <row r="868" spans="1:2" x14ac:dyDescent="0.25">
      <c r="A868" s="4">
        <v>863</v>
      </c>
      <c r="B868" s="3" t="str">
        <f>"00052202"</f>
        <v>00052202</v>
      </c>
    </row>
    <row r="869" spans="1:2" x14ac:dyDescent="0.25">
      <c r="A869" s="4">
        <v>864</v>
      </c>
      <c r="B869" s="3" t="str">
        <f>"00052381"</f>
        <v>00052381</v>
      </c>
    </row>
    <row r="870" spans="1:2" x14ac:dyDescent="0.25">
      <c r="A870" s="4">
        <v>865</v>
      </c>
      <c r="B870" s="3" t="str">
        <f>"00052583"</f>
        <v>00052583</v>
      </c>
    </row>
    <row r="871" spans="1:2" x14ac:dyDescent="0.25">
      <c r="A871" s="4">
        <v>866</v>
      </c>
      <c r="B871" s="3" t="str">
        <f>"00052644"</f>
        <v>00052644</v>
      </c>
    </row>
    <row r="872" spans="1:2" x14ac:dyDescent="0.25">
      <c r="A872" s="4">
        <v>867</v>
      </c>
      <c r="B872" s="3" t="str">
        <f>"00052983"</f>
        <v>00052983</v>
      </c>
    </row>
    <row r="873" spans="1:2" x14ac:dyDescent="0.25">
      <c r="A873" s="4">
        <v>868</v>
      </c>
      <c r="B873" s="3" t="str">
        <f>"00053157"</f>
        <v>00053157</v>
      </c>
    </row>
    <row r="874" spans="1:2" x14ac:dyDescent="0.25">
      <c r="A874" s="4">
        <v>869</v>
      </c>
      <c r="B874" s="3" t="str">
        <f>"00053170"</f>
        <v>00053170</v>
      </c>
    </row>
    <row r="875" spans="1:2" x14ac:dyDescent="0.25">
      <c r="A875" s="4">
        <v>870</v>
      </c>
      <c r="B875" s="3" t="str">
        <f>"00053433"</f>
        <v>00053433</v>
      </c>
    </row>
    <row r="876" spans="1:2" x14ac:dyDescent="0.25">
      <c r="A876" s="4">
        <v>871</v>
      </c>
      <c r="B876" s="3" t="str">
        <f>"00053636"</f>
        <v>00053636</v>
      </c>
    </row>
    <row r="877" spans="1:2" x14ac:dyDescent="0.25">
      <c r="A877" s="4">
        <v>872</v>
      </c>
      <c r="B877" s="3" t="str">
        <f>"00053642"</f>
        <v>00053642</v>
      </c>
    </row>
    <row r="878" spans="1:2" x14ac:dyDescent="0.25">
      <c r="A878" s="4">
        <v>873</v>
      </c>
      <c r="B878" s="3" t="str">
        <f>"00054335"</f>
        <v>00054335</v>
      </c>
    </row>
    <row r="879" spans="1:2" x14ac:dyDescent="0.25">
      <c r="A879" s="4">
        <v>874</v>
      </c>
      <c r="B879" s="3" t="str">
        <f>"00054424"</f>
        <v>00054424</v>
      </c>
    </row>
    <row r="880" spans="1:2" x14ac:dyDescent="0.25">
      <c r="A880" s="4">
        <v>875</v>
      </c>
      <c r="B880" s="3" t="str">
        <f>"00054525"</f>
        <v>00054525</v>
      </c>
    </row>
    <row r="881" spans="1:2" x14ac:dyDescent="0.25">
      <c r="A881" s="4">
        <v>876</v>
      </c>
      <c r="B881" s="3" t="str">
        <f>"00054687"</f>
        <v>00054687</v>
      </c>
    </row>
    <row r="882" spans="1:2" x14ac:dyDescent="0.25">
      <c r="A882" s="4">
        <v>877</v>
      </c>
      <c r="B882" s="3" t="str">
        <f>"00055542"</f>
        <v>00055542</v>
      </c>
    </row>
    <row r="883" spans="1:2" x14ac:dyDescent="0.25">
      <c r="A883" s="4">
        <v>878</v>
      </c>
      <c r="B883" s="3" t="str">
        <f>"00055828"</f>
        <v>00055828</v>
      </c>
    </row>
    <row r="884" spans="1:2" x14ac:dyDescent="0.25">
      <c r="A884" s="4">
        <v>879</v>
      </c>
      <c r="B884" s="3" t="str">
        <f>"00055965"</f>
        <v>00055965</v>
      </c>
    </row>
    <row r="885" spans="1:2" x14ac:dyDescent="0.25">
      <c r="A885" s="4">
        <v>880</v>
      </c>
      <c r="B885" s="3" t="str">
        <f>"00056054"</f>
        <v>00056054</v>
      </c>
    </row>
    <row r="886" spans="1:2" x14ac:dyDescent="0.25">
      <c r="A886" s="4">
        <v>881</v>
      </c>
      <c r="B886" s="3" t="str">
        <f>"00056264"</f>
        <v>00056264</v>
      </c>
    </row>
    <row r="887" spans="1:2" x14ac:dyDescent="0.25">
      <c r="A887" s="4">
        <v>882</v>
      </c>
      <c r="B887" s="3" t="str">
        <f>"00056277"</f>
        <v>00056277</v>
      </c>
    </row>
    <row r="888" spans="1:2" x14ac:dyDescent="0.25">
      <c r="A888" s="4">
        <v>883</v>
      </c>
      <c r="B888" s="3" t="str">
        <f>"00056447"</f>
        <v>00056447</v>
      </c>
    </row>
    <row r="889" spans="1:2" x14ac:dyDescent="0.25">
      <c r="A889" s="4">
        <v>884</v>
      </c>
      <c r="B889" s="3" t="str">
        <f>"00056676"</f>
        <v>00056676</v>
      </c>
    </row>
    <row r="890" spans="1:2" x14ac:dyDescent="0.25">
      <c r="A890" s="4">
        <v>885</v>
      </c>
      <c r="B890" s="3" t="str">
        <f>"00057003"</f>
        <v>00057003</v>
      </c>
    </row>
    <row r="891" spans="1:2" x14ac:dyDescent="0.25">
      <c r="A891" s="4">
        <v>886</v>
      </c>
      <c r="B891" s="3" t="str">
        <f>"00057686"</f>
        <v>00057686</v>
      </c>
    </row>
    <row r="892" spans="1:2" x14ac:dyDescent="0.25">
      <c r="A892" s="4">
        <v>887</v>
      </c>
      <c r="B892" s="3" t="str">
        <f>"00057789"</f>
        <v>00057789</v>
      </c>
    </row>
    <row r="893" spans="1:2" x14ac:dyDescent="0.25">
      <c r="A893" s="4">
        <v>888</v>
      </c>
      <c r="B893" s="3" t="str">
        <f>"00057883"</f>
        <v>00057883</v>
      </c>
    </row>
    <row r="894" spans="1:2" x14ac:dyDescent="0.25">
      <c r="A894" s="4">
        <v>889</v>
      </c>
      <c r="B894" s="3" t="str">
        <f>"00058109"</f>
        <v>00058109</v>
      </c>
    </row>
    <row r="895" spans="1:2" x14ac:dyDescent="0.25">
      <c r="A895" s="4">
        <v>890</v>
      </c>
      <c r="B895" s="3" t="str">
        <f>"00058315"</f>
        <v>00058315</v>
      </c>
    </row>
    <row r="896" spans="1:2" x14ac:dyDescent="0.25">
      <c r="A896" s="4">
        <v>891</v>
      </c>
      <c r="B896" s="3" t="str">
        <f>"00058418"</f>
        <v>00058418</v>
      </c>
    </row>
    <row r="897" spans="1:2" x14ac:dyDescent="0.25">
      <c r="A897" s="4">
        <v>892</v>
      </c>
      <c r="B897" s="3" t="str">
        <f>"00059260"</f>
        <v>00059260</v>
      </c>
    </row>
    <row r="898" spans="1:2" x14ac:dyDescent="0.25">
      <c r="A898" s="4">
        <v>893</v>
      </c>
      <c r="B898" s="3" t="str">
        <f>"00059337"</f>
        <v>00059337</v>
      </c>
    </row>
    <row r="899" spans="1:2" x14ac:dyDescent="0.25">
      <c r="A899" s="4">
        <v>894</v>
      </c>
      <c r="B899" s="3" t="str">
        <f>"00060123"</f>
        <v>00060123</v>
      </c>
    </row>
    <row r="900" spans="1:2" x14ac:dyDescent="0.25">
      <c r="A900" s="4">
        <v>895</v>
      </c>
      <c r="B900" s="3" t="str">
        <f>"00060244"</f>
        <v>00060244</v>
      </c>
    </row>
    <row r="901" spans="1:2" x14ac:dyDescent="0.25">
      <c r="A901" s="4">
        <v>896</v>
      </c>
      <c r="B901" s="3" t="str">
        <f>"00060830"</f>
        <v>00060830</v>
      </c>
    </row>
    <row r="902" spans="1:2" x14ac:dyDescent="0.25">
      <c r="A902" s="4">
        <v>897</v>
      </c>
      <c r="B902" s="3" t="str">
        <f>"00061040"</f>
        <v>00061040</v>
      </c>
    </row>
    <row r="903" spans="1:2" x14ac:dyDescent="0.25">
      <c r="A903" s="4">
        <v>898</v>
      </c>
      <c r="B903" s="3" t="str">
        <f>"00061399"</f>
        <v>00061399</v>
      </c>
    </row>
    <row r="904" spans="1:2" x14ac:dyDescent="0.25">
      <c r="A904" s="4">
        <v>899</v>
      </c>
      <c r="B904" s="3" t="str">
        <f>"00061893"</f>
        <v>00061893</v>
      </c>
    </row>
    <row r="905" spans="1:2" x14ac:dyDescent="0.25">
      <c r="A905" s="4">
        <v>900</v>
      </c>
      <c r="B905" s="3" t="str">
        <f>"00062241"</f>
        <v>00062241</v>
      </c>
    </row>
    <row r="906" spans="1:2" x14ac:dyDescent="0.25">
      <c r="A906" s="4">
        <v>901</v>
      </c>
      <c r="B906" s="3" t="str">
        <f>"00062583"</f>
        <v>00062583</v>
      </c>
    </row>
    <row r="907" spans="1:2" x14ac:dyDescent="0.25">
      <c r="A907" s="4">
        <v>902</v>
      </c>
      <c r="B907" s="3" t="str">
        <f>"00062812"</f>
        <v>00062812</v>
      </c>
    </row>
    <row r="908" spans="1:2" x14ac:dyDescent="0.25">
      <c r="A908" s="4">
        <v>903</v>
      </c>
      <c r="B908" s="3" t="str">
        <f>"00063128"</f>
        <v>00063128</v>
      </c>
    </row>
    <row r="909" spans="1:2" x14ac:dyDescent="0.25">
      <c r="A909" s="4">
        <v>904</v>
      </c>
      <c r="B909" s="3" t="str">
        <f>"00064840"</f>
        <v>00064840</v>
      </c>
    </row>
    <row r="910" spans="1:2" x14ac:dyDescent="0.25">
      <c r="A910" s="4">
        <v>905</v>
      </c>
      <c r="B910" s="3" t="str">
        <f>"00065136"</f>
        <v>00065136</v>
      </c>
    </row>
    <row r="911" spans="1:2" x14ac:dyDescent="0.25">
      <c r="A911" s="4">
        <v>906</v>
      </c>
      <c r="B911" s="3" t="str">
        <f>"00067121"</f>
        <v>00067121</v>
      </c>
    </row>
    <row r="912" spans="1:2" x14ac:dyDescent="0.25">
      <c r="A912" s="4">
        <v>907</v>
      </c>
      <c r="B912" s="3" t="str">
        <f>"00068457"</f>
        <v>00068457</v>
      </c>
    </row>
    <row r="913" spans="1:2" x14ac:dyDescent="0.25">
      <c r="A913" s="4">
        <v>908</v>
      </c>
      <c r="B913" s="3" t="str">
        <f>"00068659"</f>
        <v>00068659</v>
      </c>
    </row>
    <row r="914" spans="1:2" x14ac:dyDescent="0.25">
      <c r="A914" s="4">
        <v>909</v>
      </c>
      <c r="B914" s="3" t="str">
        <f>"00068922"</f>
        <v>00068922</v>
      </c>
    </row>
    <row r="915" spans="1:2" x14ac:dyDescent="0.25">
      <c r="A915" s="4">
        <v>910</v>
      </c>
      <c r="B915" s="3" t="str">
        <f>"00068955"</f>
        <v>00068955</v>
      </c>
    </row>
    <row r="916" spans="1:2" x14ac:dyDescent="0.25">
      <c r="A916" s="4">
        <v>911</v>
      </c>
      <c r="B916" s="3" t="str">
        <f>"00069023"</f>
        <v>00069023</v>
      </c>
    </row>
    <row r="917" spans="1:2" x14ac:dyDescent="0.25">
      <c r="A917" s="4">
        <v>912</v>
      </c>
      <c r="B917" s="3" t="str">
        <f>"00069256"</f>
        <v>00069256</v>
      </c>
    </row>
    <row r="918" spans="1:2" x14ac:dyDescent="0.25">
      <c r="A918" s="4">
        <v>913</v>
      </c>
      <c r="B918" s="3" t="str">
        <f>"00069322"</f>
        <v>00069322</v>
      </c>
    </row>
    <row r="919" spans="1:2" x14ac:dyDescent="0.25">
      <c r="A919" s="4">
        <v>914</v>
      </c>
      <c r="B919" s="3" t="str">
        <f>"00069367"</f>
        <v>00069367</v>
      </c>
    </row>
    <row r="920" spans="1:2" x14ac:dyDescent="0.25">
      <c r="A920" s="4">
        <v>915</v>
      </c>
      <c r="B920" s="3" t="str">
        <f>"00069373"</f>
        <v>00069373</v>
      </c>
    </row>
    <row r="921" spans="1:2" x14ac:dyDescent="0.25">
      <c r="A921" s="4">
        <v>916</v>
      </c>
      <c r="B921" s="3" t="str">
        <f>"00069379"</f>
        <v>00069379</v>
      </c>
    </row>
    <row r="922" spans="1:2" x14ac:dyDescent="0.25">
      <c r="A922" s="4">
        <v>917</v>
      </c>
      <c r="B922" s="3" t="str">
        <f>"00069429"</f>
        <v>00069429</v>
      </c>
    </row>
    <row r="923" spans="1:2" x14ac:dyDescent="0.25">
      <c r="A923" s="4">
        <v>918</v>
      </c>
      <c r="B923" s="3" t="str">
        <f>"00069475"</f>
        <v>00069475</v>
      </c>
    </row>
    <row r="924" spans="1:2" x14ac:dyDescent="0.25">
      <c r="A924" s="4">
        <v>919</v>
      </c>
      <c r="B924" s="3" t="str">
        <f>"00069526"</f>
        <v>00069526</v>
      </c>
    </row>
    <row r="925" spans="1:2" x14ac:dyDescent="0.25">
      <c r="A925" s="4">
        <v>920</v>
      </c>
      <c r="B925" s="3" t="str">
        <f>"00069643"</f>
        <v>00069643</v>
      </c>
    </row>
    <row r="926" spans="1:2" x14ac:dyDescent="0.25">
      <c r="A926" s="4">
        <v>921</v>
      </c>
      <c r="B926" s="3" t="str">
        <f>"00069716"</f>
        <v>00069716</v>
      </c>
    </row>
    <row r="927" spans="1:2" x14ac:dyDescent="0.25">
      <c r="A927" s="4">
        <v>922</v>
      </c>
      <c r="B927" s="3" t="str">
        <f>"00069792"</f>
        <v>00069792</v>
      </c>
    </row>
    <row r="928" spans="1:2" x14ac:dyDescent="0.25">
      <c r="A928" s="4">
        <v>923</v>
      </c>
      <c r="B928" s="3" t="str">
        <f>"00069908"</f>
        <v>00069908</v>
      </c>
    </row>
    <row r="929" spans="1:2" x14ac:dyDescent="0.25">
      <c r="A929" s="4">
        <v>924</v>
      </c>
      <c r="B929" s="3" t="str">
        <f>"00069924"</f>
        <v>00069924</v>
      </c>
    </row>
    <row r="930" spans="1:2" x14ac:dyDescent="0.25">
      <c r="A930" s="4">
        <v>925</v>
      </c>
      <c r="B930" s="3" t="str">
        <f>"00069927"</f>
        <v>00069927</v>
      </c>
    </row>
    <row r="931" spans="1:2" x14ac:dyDescent="0.25">
      <c r="A931" s="4">
        <v>926</v>
      </c>
      <c r="B931" s="3" t="str">
        <f>"00069966"</f>
        <v>00069966</v>
      </c>
    </row>
    <row r="932" spans="1:2" x14ac:dyDescent="0.25">
      <c r="A932" s="4">
        <v>927</v>
      </c>
      <c r="B932" s="3" t="str">
        <f>"00069981"</f>
        <v>00069981</v>
      </c>
    </row>
    <row r="933" spans="1:2" x14ac:dyDescent="0.25">
      <c r="A933" s="4">
        <v>928</v>
      </c>
      <c r="B933" s="3" t="str">
        <f>"00070021"</f>
        <v>00070021</v>
      </c>
    </row>
    <row r="934" spans="1:2" x14ac:dyDescent="0.25">
      <c r="A934" s="4">
        <v>929</v>
      </c>
      <c r="B934" s="3" t="str">
        <f>"00070044"</f>
        <v>00070044</v>
      </c>
    </row>
    <row r="935" spans="1:2" x14ac:dyDescent="0.25">
      <c r="A935" s="4">
        <v>930</v>
      </c>
      <c r="B935" s="3" t="str">
        <f>"00070103"</f>
        <v>00070103</v>
      </c>
    </row>
    <row r="936" spans="1:2" x14ac:dyDescent="0.25">
      <c r="A936" s="4">
        <v>931</v>
      </c>
      <c r="B936" s="3" t="str">
        <f>"00070127"</f>
        <v>00070127</v>
      </c>
    </row>
    <row r="937" spans="1:2" x14ac:dyDescent="0.25">
      <c r="A937" s="4">
        <v>932</v>
      </c>
      <c r="B937" s="3" t="str">
        <f>"00070176"</f>
        <v>00070176</v>
      </c>
    </row>
    <row r="938" spans="1:2" x14ac:dyDescent="0.25">
      <c r="A938" s="4">
        <v>933</v>
      </c>
      <c r="B938" s="3" t="str">
        <f>"00070188"</f>
        <v>00070188</v>
      </c>
    </row>
    <row r="939" spans="1:2" x14ac:dyDescent="0.25">
      <c r="A939" s="4">
        <v>934</v>
      </c>
      <c r="B939" s="3" t="str">
        <f>"00070194"</f>
        <v>00070194</v>
      </c>
    </row>
    <row r="940" spans="1:2" x14ac:dyDescent="0.25">
      <c r="A940" s="4">
        <v>935</v>
      </c>
      <c r="B940" s="3" t="str">
        <f>"00070249"</f>
        <v>00070249</v>
      </c>
    </row>
    <row r="941" spans="1:2" x14ac:dyDescent="0.25">
      <c r="A941" s="4">
        <v>936</v>
      </c>
      <c r="B941" s="3" t="str">
        <f>"00070264"</f>
        <v>00070264</v>
      </c>
    </row>
    <row r="942" spans="1:2" x14ac:dyDescent="0.25">
      <c r="A942" s="4">
        <v>937</v>
      </c>
      <c r="B942" s="3" t="str">
        <f>"00070268"</f>
        <v>00070268</v>
      </c>
    </row>
    <row r="943" spans="1:2" x14ac:dyDescent="0.25">
      <c r="A943" s="4">
        <v>938</v>
      </c>
      <c r="B943" s="3" t="str">
        <f>"00070325"</f>
        <v>00070325</v>
      </c>
    </row>
    <row r="944" spans="1:2" x14ac:dyDescent="0.25">
      <c r="A944" s="4">
        <v>939</v>
      </c>
      <c r="B944" s="3" t="str">
        <f>"00070477"</f>
        <v>00070477</v>
      </c>
    </row>
    <row r="945" spans="1:2" x14ac:dyDescent="0.25">
      <c r="A945" s="4">
        <v>940</v>
      </c>
      <c r="B945" s="3" t="str">
        <f>"00070524"</f>
        <v>00070524</v>
      </c>
    </row>
    <row r="946" spans="1:2" x14ac:dyDescent="0.25">
      <c r="A946" s="4">
        <v>941</v>
      </c>
      <c r="B946" s="3" t="str">
        <f>"00070546"</f>
        <v>00070546</v>
      </c>
    </row>
    <row r="947" spans="1:2" x14ac:dyDescent="0.25">
      <c r="A947" s="4">
        <v>942</v>
      </c>
      <c r="B947" s="3" t="str">
        <f>"00070670"</f>
        <v>00070670</v>
      </c>
    </row>
    <row r="948" spans="1:2" x14ac:dyDescent="0.25">
      <c r="A948" s="4">
        <v>943</v>
      </c>
      <c r="B948" s="3" t="str">
        <f>"00070937"</f>
        <v>00070937</v>
      </c>
    </row>
    <row r="949" spans="1:2" x14ac:dyDescent="0.25">
      <c r="A949" s="4">
        <v>944</v>
      </c>
      <c r="B949" s="3" t="str">
        <f>"00070993"</f>
        <v>00070993</v>
      </c>
    </row>
    <row r="950" spans="1:2" x14ac:dyDescent="0.25">
      <c r="A950" s="4">
        <v>945</v>
      </c>
      <c r="B950" s="3" t="str">
        <f>"00071023"</f>
        <v>00071023</v>
      </c>
    </row>
    <row r="951" spans="1:2" x14ac:dyDescent="0.25">
      <c r="A951" s="4">
        <v>946</v>
      </c>
      <c r="B951" s="3" t="str">
        <f>"00071045"</f>
        <v>00071045</v>
      </c>
    </row>
    <row r="952" spans="1:2" x14ac:dyDescent="0.25">
      <c r="A952" s="4">
        <v>947</v>
      </c>
      <c r="B952" s="3" t="str">
        <f>"00071081"</f>
        <v>00071081</v>
      </c>
    </row>
    <row r="953" spans="1:2" x14ac:dyDescent="0.25">
      <c r="A953" s="4">
        <v>948</v>
      </c>
      <c r="B953" s="3" t="str">
        <f>"00071087"</f>
        <v>00071087</v>
      </c>
    </row>
    <row r="954" spans="1:2" x14ac:dyDescent="0.25">
      <c r="A954" s="4">
        <v>949</v>
      </c>
      <c r="B954" s="3" t="str">
        <f>"00071122"</f>
        <v>00071122</v>
      </c>
    </row>
    <row r="955" spans="1:2" x14ac:dyDescent="0.25">
      <c r="A955" s="4">
        <v>950</v>
      </c>
      <c r="B955" s="3" t="str">
        <f>"00071145"</f>
        <v>00071145</v>
      </c>
    </row>
    <row r="956" spans="1:2" x14ac:dyDescent="0.25">
      <c r="A956" s="4">
        <v>951</v>
      </c>
      <c r="B956" s="3" t="str">
        <f>"00071157"</f>
        <v>00071157</v>
      </c>
    </row>
    <row r="957" spans="1:2" x14ac:dyDescent="0.25">
      <c r="A957" s="4">
        <v>952</v>
      </c>
      <c r="B957" s="3" t="str">
        <f>"00071417"</f>
        <v>00071417</v>
      </c>
    </row>
    <row r="958" spans="1:2" x14ac:dyDescent="0.25">
      <c r="A958" s="4">
        <v>953</v>
      </c>
      <c r="B958" s="3" t="str">
        <f>"00071517"</f>
        <v>00071517</v>
      </c>
    </row>
    <row r="959" spans="1:2" x14ac:dyDescent="0.25">
      <c r="A959" s="4">
        <v>954</v>
      </c>
      <c r="B959" s="3" t="str">
        <f>"00071523"</f>
        <v>00071523</v>
      </c>
    </row>
    <row r="960" spans="1:2" x14ac:dyDescent="0.25">
      <c r="A960" s="4">
        <v>955</v>
      </c>
      <c r="B960" s="3" t="str">
        <f>"00071545"</f>
        <v>00071545</v>
      </c>
    </row>
    <row r="961" spans="1:2" x14ac:dyDescent="0.25">
      <c r="A961" s="4">
        <v>956</v>
      </c>
      <c r="B961" s="3" t="str">
        <f>"00071546"</f>
        <v>00071546</v>
      </c>
    </row>
    <row r="962" spans="1:2" x14ac:dyDescent="0.25">
      <c r="A962" s="4">
        <v>957</v>
      </c>
      <c r="B962" s="3" t="str">
        <f>"00071635"</f>
        <v>00071635</v>
      </c>
    </row>
    <row r="963" spans="1:2" x14ac:dyDescent="0.25">
      <c r="A963" s="4">
        <v>958</v>
      </c>
      <c r="B963" s="3" t="str">
        <f>"00071745"</f>
        <v>00071745</v>
      </c>
    </row>
    <row r="964" spans="1:2" x14ac:dyDescent="0.25">
      <c r="A964" s="4">
        <v>959</v>
      </c>
      <c r="B964" s="3" t="str">
        <f>"00071923"</f>
        <v>00071923</v>
      </c>
    </row>
    <row r="965" spans="1:2" x14ac:dyDescent="0.25">
      <c r="A965" s="4">
        <v>960</v>
      </c>
      <c r="B965" s="3" t="str">
        <f>"00071945"</f>
        <v>00071945</v>
      </c>
    </row>
    <row r="966" spans="1:2" x14ac:dyDescent="0.25">
      <c r="A966" s="4">
        <v>961</v>
      </c>
      <c r="B966" s="3" t="str">
        <f>"00072323"</f>
        <v>00072323</v>
      </c>
    </row>
    <row r="967" spans="1:2" x14ac:dyDescent="0.25">
      <c r="A967" s="4">
        <v>962</v>
      </c>
      <c r="B967" s="3" t="str">
        <f>"00072452"</f>
        <v>00072452</v>
      </c>
    </row>
    <row r="968" spans="1:2" x14ac:dyDescent="0.25">
      <c r="A968" s="4">
        <v>963</v>
      </c>
      <c r="B968" s="3" t="str">
        <f>"00072753"</f>
        <v>00072753</v>
      </c>
    </row>
    <row r="969" spans="1:2" x14ac:dyDescent="0.25">
      <c r="A969" s="4">
        <v>964</v>
      </c>
      <c r="B969" s="3" t="str">
        <f>"00072788"</f>
        <v>00072788</v>
      </c>
    </row>
    <row r="970" spans="1:2" x14ac:dyDescent="0.25">
      <c r="A970" s="4">
        <v>965</v>
      </c>
      <c r="B970" s="3" t="str">
        <f>"00072849"</f>
        <v>00072849</v>
      </c>
    </row>
    <row r="971" spans="1:2" x14ac:dyDescent="0.25">
      <c r="A971" s="4">
        <v>966</v>
      </c>
      <c r="B971" s="3" t="str">
        <f>"00072920"</f>
        <v>00072920</v>
      </c>
    </row>
    <row r="972" spans="1:2" x14ac:dyDescent="0.25">
      <c r="A972" s="4">
        <v>967</v>
      </c>
      <c r="B972" s="3" t="str">
        <f>"00072962"</f>
        <v>00072962</v>
      </c>
    </row>
    <row r="973" spans="1:2" x14ac:dyDescent="0.25">
      <c r="A973" s="4">
        <v>968</v>
      </c>
      <c r="B973" s="3" t="str">
        <f>"00072982"</f>
        <v>00072982</v>
      </c>
    </row>
    <row r="974" spans="1:2" x14ac:dyDescent="0.25">
      <c r="A974" s="4">
        <v>969</v>
      </c>
      <c r="B974" s="3" t="str">
        <f>"00073013"</f>
        <v>00073013</v>
      </c>
    </row>
    <row r="975" spans="1:2" x14ac:dyDescent="0.25">
      <c r="A975" s="4">
        <v>970</v>
      </c>
      <c r="B975" s="3" t="str">
        <f>"00073028"</f>
        <v>00073028</v>
      </c>
    </row>
    <row r="976" spans="1:2" x14ac:dyDescent="0.25">
      <c r="A976" s="4">
        <v>971</v>
      </c>
      <c r="B976" s="3" t="str">
        <f>"00073074"</f>
        <v>00073074</v>
      </c>
    </row>
    <row r="977" spans="1:2" x14ac:dyDescent="0.25">
      <c r="A977" s="4">
        <v>972</v>
      </c>
      <c r="B977" s="3" t="str">
        <f>"00073118"</f>
        <v>00073118</v>
      </c>
    </row>
    <row r="978" spans="1:2" x14ac:dyDescent="0.25">
      <c r="A978" s="4">
        <v>973</v>
      </c>
      <c r="B978" s="3" t="str">
        <f>"00073226"</f>
        <v>00073226</v>
      </c>
    </row>
    <row r="979" spans="1:2" x14ac:dyDescent="0.25">
      <c r="A979" s="4">
        <v>974</v>
      </c>
      <c r="B979" s="3" t="str">
        <f>"00073245"</f>
        <v>00073245</v>
      </c>
    </row>
    <row r="980" spans="1:2" x14ac:dyDescent="0.25">
      <c r="A980" s="4">
        <v>975</v>
      </c>
      <c r="B980" s="3" t="str">
        <f>"00073295"</f>
        <v>00073295</v>
      </c>
    </row>
    <row r="981" spans="1:2" x14ac:dyDescent="0.25">
      <c r="A981" s="4">
        <v>976</v>
      </c>
      <c r="B981" s="3" t="str">
        <f>"00073300"</f>
        <v>00073300</v>
      </c>
    </row>
    <row r="982" spans="1:2" x14ac:dyDescent="0.25">
      <c r="A982" s="4">
        <v>977</v>
      </c>
      <c r="B982" s="3" t="str">
        <f>"00073301"</f>
        <v>00073301</v>
      </c>
    </row>
    <row r="983" spans="1:2" x14ac:dyDescent="0.25">
      <c r="A983" s="4">
        <v>978</v>
      </c>
      <c r="B983" s="3" t="str">
        <f>"00073315"</f>
        <v>00073315</v>
      </c>
    </row>
    <row r="984" spans="1:2" x14ac:dyDescent="0.25">
      <c r="A984" s="4">
        <v>979</v>
      </c>
      <c r="B984" s="3" t="str">
        <f>"00073327"</f>
        <v>00073327</v>
      </c>
    </row>
    <row r="985" spans="1:2" x14ac:dyDescent="0.25">
      <c r="A985" s="4">
        <v>980</v>
      </c>
      <c r="B985" s="3" t="str">
        <f>"00073388"</f>
        <v>00073388</v>
      </c>
    </row>
    <row r="986" spans="1:2" x14ac:dyDescent="0.25">
      <c r="A986" s="4">
        <v>981</v>
      </c>
      <c r="B986" s="3" t="str">
        <f>"00073418"</f>
        <v>00073418</v>
      </c>
    </row>
    <row r="987" spans="1:2" x14ac:dyDescent="0.25">
      <c r="A987" s="4">
        <v>982</v>
      </c>
      <c r="B987" s="3" t="str">
        <f>"00073510"</f>
        <v>00073510</v>
      </c>
    </row>
    <row r="988" spans="1:2" x14ac:dyDescent="0.25">
      <c r="A988" s="4">
        <v>983</v>
      </c>
      <c r="B988" s="3" t="str">
        <f>"00073560"</f>
        <v>00073560</v>
      </c>
    </row>
    <row r="989" spans="1:2" x14ac:dyDescent="0.25">
      <c r="A989" s="4">
        <v>984</v>
      </c>
      <c r="B989" s="3" t="str">
        <f>"00073628"</f>
        <v>00073628</v>
      </c>
    </row>
    <row r="990" spans="1:2" x14ac:dyDescent="0.25">
      <c r="A990" s="4">
        <v>985</v>
      </c>
      <c r="B990" s="3" t="str">
        <f>"00073653"</f>
        <v>00073653</v>
      </c>
    </row>
    <row r="991" spans="1:2" x14ac:dyDescent="0.25">
      <c r="A991" s="4">
        <v>986</v>
      </c>
      <c r="B991" s="3" t="str">
        <f>"00073667"</f>
        <v>00073667</v>
      </c>
    </row>
    <row r="992" spans="1:2" x14ac:dyDescent="0.25">
      <c r="A992" s="4">
        <v>987</v>
      </c>
      <c r="B992" s="3" t="str">
        <f>"00073797"</f>
        <v>00073797</v>
      </c>
    </row>
    <row r="993" spans="1:2" x14ac:dyDescent="0.25">
      <c r="A993" s="4">
        <v>988</v>
      </c>
      <c r="B993" s="3" t="str">
        <f>"00073847"</f>
        <v>00073847</v>
      </c>
    </row>
    <row r="994" spans="1:2" x14ac:dyDescent="0.25">
      <c r="A994" s="4">
        <v>989</v>
      </c>
      <c r="B994" s="3" t="str">
        <f>"00073900"</f>
        <v>00073900</v>
      </c>
    </row>
    <row r="995" spans="1:2" x14ac:dyDescent="0.25">
      <c r="A995" s="4">
        <v>990</v>
      </c>
      <c r="B995" s="3" t="str">
        <f>"00073918"</f>
        <v>00073918</v>
      </c>
    </row>
    <row r="996" spans="1:2" x14ac:dyDescent="0.25">
      <c r="A996" s="4">
        <v>991</v>
      </c>
      <c r="B996" s="3" t="str">
        <f>"00073978"</f>
        <v>00073978</v>
      </c>
    </row>
    <row r="997" spans="1:2" x14ac:dyDescent="0.25">
      <c r="A997" s="4">
        <v>992</v>
      </c>
      <c r="B997" s="3" t="str">
        <f>"00074008"</f>
        <v>00074008</v>
      </c>
    </row>
    <row r="998" spans="1:2" x14ac:dyDescent="0.25">
      <c r="A998" s="4">
        <v>993</v>
      </c>
      <c r="B998" s="3" t="str">
        <f>"00074110"</f>
        <v>00074110</v>
      </c>
    </row>
    <row r="999" spans="1:2" x14ac:dyDescent="0.25">
      <c r="A999" s="4">
        <v>994</v>
      </c>
      <c r="B999" s="3" t="str">
        <f>"00074125"</f>
        <v>00074125</v>
      </c>
    </row>
    <row r="1000" spans="1:2" x14ac:dyDescent="0.25">
      <c r="A1000" s="4">
        <v>995</v>
      </c>
      <c r="B1000" s="3" t="str">
        <f>"00074317"</f>
        <v>00074317</v>
      </c>
    </row>
    <row r="1001" spans="1:2" x14ac:dyDescent="0.25">
      <c r="A1001" s="4">
        <v>996</v>
      </c>
      <c r="B1001" s="3" t="str">
        <f>"00074368"</f>
        <v>00074368</v>
      </c>
    </row>
    <row r="1002" spans="1:2" x14ac:dyDescent="0.25">
      <c r="A1002" s="4">
        <v>997</v>
      </c>
      <c r="B1002" s="3" t="str">
        <f>"00074572"</f>
        <v>00074572</v>
      </c>
    </row>
    <row r="1003" spans="1:2" x14ac:dyDescent="0.25">
      <c r="A1003" s="4">
        <v>998</v>
      </c>
      <c r="B1003" s="3" t="str">
        <f>"00074653"</f>
        <v>00074653</v>
      </c>
    </row>
    <row r="1004" spans="1:2" x14ac:dyDescent="0.25">
      <c r="A1004" s="4">
        <v>999</v>
      </c>
      <c r="B1004" s="3" t="str">
        <f>"00074683"</f>
        <v>00074683</v>
      </c>
    </row>
    <row r="1005" spans="1:2" x14ac:dyDescent="0.25">
      <c r="A1005" s="4">
        <v>1000</v>
      </c>
      <c r="B1005" s="3" t="str">
        <f>"00074770"</f>
        <v>00074770</v>
      </c>
    </row>
    <row r="1006" spans="1:2" x14ac:dyDescent="0.25">
      <c r="A1006" s="4">
        <v>1001</v>
      </c>
      <c r="B1006" s="3" t="str">
        <f>"00074810"</f>
        <v>00074810</v>
      </c>
    </row>
    <row r="1007" spans="1:2" x14ac:dyDescent="0.25">
      <c r="A1007" s="4">
        <v>1002</v>
      </c>
      <c r="B1007" s="3" t="str">
        <f>"00074871"</f>
        <v>00074871</v>
      </c>
    </row>
    <row r="1008" spans="1:2" x14ac:dyDescent="0.25">
      <c r="A1008" s="4">
        <v>1003</v>
      </c>
      <c r="B1008" s="3" t="str">
        <f>"00074904"</f>
        <v>00074904</v>
      </c>
    </row>
    <row r="1009" spans="1:2" x14ac:dyDescent="0.25">
      <c r="A1009" s="4">
        <v>1004</v>
      </c>
      <c r="B1009" s="3" t="str">
        <f>"00074971"</f>
        <v>00074971</v>
      </c>
    </row>
    <row r="1010" spans="1:2" x14ac:dyDescent="0.25">
      <c r="A1010" s="4">
        <v>1005</v>
      </c>
      <c r="B1010" s="3" t="str">
        <f>"00074973"</f>
        <v>00074973</v>
      </c>
    </row>
    <row r="1011" spans="1:2" x14ac:dyDescent="0.25">
      <c r="A1011" s="4">
        <v>1006</v>
      </c>
      <c r="B1011" s="3" t="str">
        <f>"00075051"</f>
        <v>00075051</v>
      </c>
    </row>
    <row r="1012" spans="1:2" x14ac:dyDescent="0.25">
      <c r="A1012" s="4">
        <v>1007</v>
      </c>
      <c r="B1012" s="3" t="str">
        <f>"00075078"</f>
        <v>00075078</v>
      </c>
    </row>
    <row r="1013" spans="1:2" x14ac:dyDescent="0.25">
      <c r="A1013" s="4">
        <v>1008</v>
      </c>
      <c r="B1013" s="3" t="str">
        <f>"00075079"</f>
        <v>00075079</v>
      </c>
    </row>
    <row r="1014" spans="1:2" x14ac:dyDescent="0.25">
      <c r="A1014" s="4">
        <v>1009</v>
      </c>
      <c r="B1014" s="3" t="str">
        <f>"00075108"</f>
        <v>00075108</v>
      </c>
    </row>
    <row r="1015" spans="1:2" x14ac:dyDescent="0.25">
      <c r="A1015" s="4">
        <v>1010</v>
      </c>
      <c r="B1015" s="3" t="str">
        <f>"00075116"</f>
        <v>00075116</v>
      </c>
    </row>
    <row r="1016" spans="1:2" x14ac:dyDescent="0.25">
      <c r="A1016" s="4">
        <v>1011</v>
      </c>
      <c r="B1016" s="3" t="str">
        <f>"00075154"</f>
        <v>00075154</v>
      </c>
    </row>
    <row r="1017" spans="1:2" x14ac:dyDescent="0.25">
      <c r="A1017" s="4">
        <v>1012</v>
      </c>
      <c r="B1017" s="3" t="str">
        <f>"00075167"</f>
        <v>00075167</v>
      </c>
    </row>
    <row r="1018" spans="1:2" x14ac:dyDescent="0.25">
      <c r="A1018" s="4">
        <v>1013</v>
      </c>
      <c r="B1018" s="3" t="str">
        <f>"00075254"</f>
        <v>00075254</v>
      </c>
    </row>
    <row r="1019" spans="1:2" x14ac:dyDescent="0.25">
      <c r="A1019" s="4">
        <v>1014</v>
      </c>
      <c r="B1019" s="3" t="str">
        <f>"00075259"</f>
        <v>00075259</v>
      </c>
    </row>
    <row r="1020" spans="1:2" x14ac:dyDescent="0.25">
      <c r="A1020" s="4">
        <v>1015</v>
      </c>
      <c r="B1020" s="3" t="str">
        <f>"00075260"</f>
        <v>00075260</v>
      </c>
    </row>
    <row r="1021" spans="1:2" x14ac:dyDescent="0.25">
      <c r="A1021" s="4">
        <v>1016</v>
      </c>
      <c r="B1021" s="3" t="str">
        <f>"00075268"</f>
        <v>00075268</v>
      </c>
    </row>
    <row r="1022" spans="1:2" x14ac:dyDescent="0.25">
      <c r="A1022" s="4">
        <v>1017</v>
      </c>
      <c r="B1022" s="3" t="str">
        <f>"00075306"</f>
        <v>00075306</v>
      </c>
    </row>
    <row r="1023" spans="1:2" x14ac:dyDescent="0.25">
      <c r="A1023" s="4">
        <v>1018</v>
      </c>
      <c r="B1023" s="3" t="str">
        <f>"00075328"</f>
        <v>00075328</v>
      </c>
    </row>
    <row r="1024" spans="1:2" x14ac:dyDescent="0.25">
      <c r="A1024" s="4">
        <v>1019</v>
      </c>
      <c r="B1024" s="3" t="str">
        <f>"00075343"</f>
        <v>00075343</v>
      </c>
    </row>
    <row r="1025" spans="1:2" x14ac:dyDescent="0.25">
      <c r="A1025" s="4">
        <v>1020</v>
      </c>
      <c r="B1025" s="3" t="str">
        <f>"00075405"</f>
        <v>00075405</v>
      </c>
    </row>
    <row r="1026" spans="1:2" x14ac:dyDescent="0.25">
      <c r="A1026" s="4">
        <v>1021</v>
      </c>
      <c r="B1026" s="3" t="str">
        <f>"00075446"</f>
        <v>00075446</v>
      </c>
    </row>
    <row r="1027" spans="1:2" x14ac:dyDescent="0.25">
      <c r="A1027" s="4">
        <v>1022</v>
      </c>
      <c r="B1027" s="3" t="str">
        <f>"00075509"</f>
        <v>00075509</v>
      </c>
    </row>
    <row r="1028" spans="1:2" x14ac:dyDescent="0.25">
      <c r="A1028" s="4">
        <v>1023</v>
      </c>
      <c r="B1028" s="3" t="str">
        <f>"00075553"</f>
        <v>00075553</v>
      </c>
    </row>
    <row r="1029" spans="1:2" x14ac:dyDescent="0.25">
      <c r="A1029" s="4">
        <v>1024</v>
      </c>
      <c r="B1029" s="3" t="str">
        <f>"00075571"</f>
        <v>00075571</v>
      </c>
    </row>
    <row r="1030" spans="1:2" x14ac:dyDescent="0.25">
      <c r="A1030" s="4">
        <v>1025</v>
      </c>
      <c r="B1030" s="3" t="str">
        <f>"00075672"</f>
        <v>00075672</v>
      </c>
    </row>
    <row r="1031" spans="1:2" x14ac:dyDescent="0.25">
      <c r="A1031" s="4">
        <v>1026</v>
      </c>
      <c r="B1031" s="3" t="str">
        <f>"00075674"</f>
        <v>00075674</v>
      </c>
    </row>
    <row r="1032" spans="1:2" x14ac:dyDescent="0.25">
      <c r="A1032" s="4">
        <v>1027</v>
      </c>
      <c r="B1032" s="3" t="str">
        <f>"00075749"</f>
        <v>00075749</v>
      </c>
    </row>
    <row r="1033" spans="1:2" x14ac:dyDescent="0.25">
      <c r="A1033" s="4">
        <v>1028</v>
      </c>
      <c r="B1033" s="3" t="str">
        <f>"00075802"</f>
        <v>00075802</v>
      </c>
    </row>
    <row r="1034" spans="1:2" x14ac:dyDescent="0.25">
      <c r="A1034" s="4">
        <v>1029</v>
      </c>
      <c r="B1034" s="3" t="str">
        <f>"00075821"</f>
        <v>00075821</v>
      </c>
    </row>
    <row r="1035" spans="1:2" x14ac:dyDescent="0.25">
      <c r="A1035" s="4">
        <v>1030</v>
      </c>
      <c r="B1035" s="3" t="str">
        <f>"00075863"</f>
        <v>00075863</v>
      </c>
    </row>
    <row r="1036" spans="1:2" x14ac:dyDescent="0.25">
      <c r="A1036" s="4">
        <v>1031</v>
      </c>
      <c r="B1036" s="3" t="str">
        <f>"00075985"</f>
        <v>00075985</v>
      </c>
    </row>
    <row r="1037" spans="1:2" x14ac:dyDescent="0.25">
      <c r="A1037" s="4">
        <v>1032</v>
      </c>
      <c r="B1037" s="3" t="str">
        <f>"00076130"</f>
        <v>00076130</v>
      </c>
    </row>
    <row r="1038" spans="1:2" x14ac:dyDescent="0.25">
      <c r="A1038" s="4">
        <v>1033</v>
      </c>
      <c r="B1038" s="3" t="str">
        <f>"00076146"</f>
        <v>00076146</v>
      </c>
    </row>
    <row r="1039" spans="1:2" x14ac:dyDescent="0.25">
      <c r="A1039" s="4">
        <v>1034</v>
      </c>
      <c r="B1039" s="3" t="str">
        <f>"00076262"</f>
        <v>00076262</v>
      </c>
    </row>
    <row r="1040" spans="1:2" x14ac:dyDescent="0.25">
      <c r="A1040" s="4">
        <v>1035</v>
      </c>
      <c r="B1040" s="3" t="str">
        <f>"00076265"</f>
        <v>00076265</v>
      </c>
    </row>
    <row r="1041" spans="1:2" x14ac:dyDescent="0.25">
      <c r="A1041" s="4">
        <v>1036</v>
      </c>
      <c r="B1041" s="3" t="str">
        <f>"00076269"</f>
        <v>00076269</v>
      </c>
    </row>
    <row r="1042" spans="1:2" x14ac:dyDescent="0.25">
      <c r="A1042" s="4">
        <v>1037</v>
      </c>
      <c r="B1042" s="3" t="str">
        <f>"00076287"</f>
        <v>00076287</v>
      </c>
    </row>
    <row r="1043" spans="1:2" x14ac:dyDescent="0.25">
      <c r="A1043" s="4">
        <v>1038</v>
      </c>
      <c r="B1043" s="3" t="str">
        <f>"00076296"</f>
        <v>00076296</v>
      </c>
    </row>
    <row r="1044" spans="1:2" x14ac:dyDescent="0.25">
      <c r="A1044" s="4">
        <v>1039</v>
      </c>
      <c r="B1044" s="3" t="str">
        <f>"00076314"</f>
        <v>00076314</v>
      </c>
    </row>
    <row r="1045" spans="1:2" x14ac:dyDescent="0.25">
      <c r="A1045" s="4">
        <v>1040</v>
      </c>
      <c r="B1045" s="3" t="str">
        <f>"00076404"</f>
        <v>00076404</v>
      </c>
    </row>
    <row r="1046" spans="1:2" x14ac:dyDescent="0.25">
      <c r="A1046" s="4">
        <v>1041</v>
      </c>
      <c r="B1046" s="3" t="str">
        <f>"00076549"</f>
        <v>00076549</v>
      </c>
    </row>
    <row r="1047" spans="1:2" x14ac:dyDescent="0.25">
      <c r="A1047" s="4">
        <v>1042</v>
      </c>
      <c r="B1047" s="3" t="str">
        <f>"00076552"</f>
        <v>00076552</v>
      </c>
    </row>
    <row r="1048" spans="1:2" x14ac:dyDescent="0.25">
      <c r="A1048" s="4">
        <v>1043</v>
      </c>
      <c r="B1048" s="3" t="str">
        <f>"00076589"</f>
        <v>00076589</v>
      </c>
    </row>
    <row r="1049" spans="1:2" x14ac:dyDescent="0.25">
      <c r="A1049" s="4">
        <v>1044</v>
      </c>
      <c r="B1049" s="3" t="str">
        <f>"00076591"</f>
        <v>00076591</v>
      </c>
    </row>
    <row r="1050" spans="1:2" x14ac:dyDescent="0.25">
      <c r="A1050" s="4">
        <v>1045</v>
      </c>
      <c r="B1050" s="3" t="str">
        <f>"00076607"</f>
        <v>00076607</v>
      </c>
    </row>
    <row r="1051" spans="1:2" x14ac:dyDescent="0.25">
      <c r="A1051" s="4">
        <v>1046</v>
      </c>
      <c r="B1051" s="3" t="str">
        <f>"00076637"</f>
        <v>00076637</v>
      </c>
    </row>
    <row r="1052" spans="1:2" x14ac:dyDescent="0.25">
      <c r="A1052" s="4">
        <v>1047</v>
      </c>
      <c r="B1052" s="3" t="str">
        <f>"00076641"</f>
        <v>00076641</v>
      </c>
    </row>
    <row r="1053" spans="1:2" x14ac:dyDescent="0.25">
      <c r="A1053" s="4">
        <v>1048</v>
      </c>
      <c r="B1053" s="3" t="str">
        <f>"00076764"</f>
        <v>00076764</v>
      </c>
    </row>
    <row r="1054" spans="1:2" x14ac:dyDescent="0.25">
      <c r="A1054" s="4">
        <v>1049</v>
      </c>
      <c r="B1054" s="3" t="str">
        <f>"00076818"</f>
        <v>00076818</v>
      </c>
    </row>
    <row r="1055" spans="1:2" x14ac:dyDescent="0.25">
      <c r="A1055" s="4">
        <v>1050</v>
      </c>
      <c r="B1055" s="3" t="str">
        <f>"00076857"</f>
        <v>00076857</v>
      </c>
    </row>
    <row r="1056" spans="1:2" x14ac:dyDescent="0.25">
      <c r="A1056" s="4">
        <v>1051</v>
      </c>
      <c r="B1056" s="3" t="str">
        <f>"00077082"</f>
        <v>00077082</v>
      </c>
    </row>
    <row r="1057" spans="1:2" x14ac:dyDescent="0.25">
      <c r="A1057" s="4">
        <v>1052</v>
      </c>
      <c r="B1057" s="3" t="str">
        <f>"00077101"</f>
        <v>00077101</v>
      </c>
    </row>
    <row r="1058" spans="1:2" x14ac:dyDescent="0.25">
      <c r="A1058" s="4">
        <v>1053</v>
      </c>
      <c r="B1058" s="3" t="str">
        <f>"00077102"</f>
        <v>00077102</v>
      </c>
    </row>
    <row r="1059" spans="1:2" x14ac:dyDescent="0.25">
      <c r="A1059" s="4">
        <v>1054</v>
      </c>
      <c r="B1059" s="3" t="str">
        <f>"00077161"</f>
        <v>00077161</v>
      </c>
    </row>
    <row r="1060" spans="1:2" x14ac:dyDescent="0.25">
      <c r="A1060" s="4">
        <v>1055</v>
      </c>
      <c r="B1060" s="3" t="str">
        <f>"00077200"</f>
        <v>00077200</v>
      </c>
    </row>
    <row r="1061" spans="1:2" x14ac:dyDescent="0.25">
      <c r="A1061" s="4">
        <v>1056</v>
      </c>
      <c r="B1061" s="3" t="str">
        <f>"00077207"</f>
        <v>00077207</v>
      </c>
    </row>
    <row r="1062" spans="1:2" x14ac:dyDescent="0.25">
      <c r="A1062" s="4">
        <v>1057</v>
      </c>
      <c r="B1062" s="3" t="str">
        <f>"00077514"</f>
        <v>00077514</v>
      </c>
    </row>
    <row r="1063" spans="1:2" x14ac:dyDescent="0.25">
      <c r="A1063" s="4">
        <v>1058</v>
      </c>
      <c r="B1063" s="3" t="str">
        <f>"00077559"</f>
        <v>00077559</v>
      </c>
    </row>
    <row r="1064" spans="1:2" x14ac:dyDescent="0.25">
      <c r="A1064" s="4">
        <v>1059</v>
      </c>
      <c r="B1064" s="3" t="str">
        <f>"00077614"</f>
        <v>00077614</v>
      </c>
    </row>
    <row r="1065" spans="1:2" x14ac:dyDescent="0.25">
      <c r="A1065" s="4">
        <v>1060</v>
      </c>
      <c r="B1065" s="3" t="str">
        <f>"00077615"</f>
        <v>00077615</v>
      </c>
    </row>
    <row r="1066" spans="1:2" x14ac:dyDescent="0.25">
      <c r="A1066" s="4">
        <v>1061</v>
      </c>
      <c r="B1066" s="3" t="str">
        <f>"00077684"</f>
        <v>00077684</v>
      </c>
    </row>
    <row r="1067" spans="1:2" x14ac:dyDescent="0.25">
      <c r="A1067" s="4">
        <v>1062</v>
      </c>
      <c r="B1067" s="3" t="str">
        <f>"00077950"</f>
        <v>00077950</v>
      </c>
    </row>
    <row r="1068" spans="1:2" x14ac:dyDescent="0.25">
      <c r="A1068" s="4">
        <v>1063</v>
      </c>
      <c r="B1068" s="3" t="str">
        <f>"00077953"</f>
        <v>00077953</v>
      </c>
    </row>
    <row r="1069" spans="1:2" x14ac:dyDescent="0.25">
      <c r="A1069" s="4">
        <v>1064</v>
      </c>
      <c r="B1069" s="3" t="str">
        <f>"00077969"</f>
        <v>00077969</v>
      </c>
    </row>
    <row r="1070" spans="1:2" x14ac:dyDescent="0.25">
      <c r="A1070" s="4">
        <v>1065</v>
      </c>
      <c r="B1070" s="3" t="str">
        <f>"00077980"</f>
        <v>00077980</v>
      </c>
    </row>
    <row r="1071" spans="1:2" x14ac:dyDescent="0.25">
      <c r="A1071" s="4">
        <v>1066</v>
      </c>
      <c r="B1071" s="3" t="str">
        <f>"00077996"</f>
        <v>00077996</v>
      </c>
    </row>
    <row r="1072" spans="1:2" x14ac:dyDescent="0.25">
      <c r="A1072" s="4">
        <v>1067</v>
      </c>
      <c r="B1072" s="3" t="str">
        <f>"00078134"</f>
        <v>00078134</v>
      </c>
    </row>
    <row r="1073" spans="1:2" x14ac:dyDescent="0.25">
      <c r="A1073" s="4">
        <v>1068</v>
      </c>
      <c r="B1073" s="3" t="str">
        <f>"00078147"</f>
        <v>00078147</v>
      </c>
    </row>
    <row r="1074" spans="1:2" x14ac:dyDescent="0.25">
      <c r="A1074" s="4">
        <v>1069</v>
      </c>
      <c r="B1074" s="3" t="str">
        <f>"00078157"</f>
        <v>00078157</v>
      </c>
    </row>
    <row r="1075" spans="1:2" x14ac:dyDescent="0.25">
      <c r="A1075" s="4">
        <v>1070</v>
      </c>
      <c r="B1075" s="3" t="str">
        <f>"00078160"</f>
        <v>00078160</v>
      </c>
    </row>
    <row r="1076" spans="1:2" x14ac:dyDescent="0.25">
      <c r="A1076" s="4">
        <v>1071</v>
      </c>
      <c r="B1076" s="3" t="str">
        <f>"00078186"</f>
        <v>00078186</v>
      </c>
    </row>
    <row r="1077" spans="1:2" x14ac:dyDescent="0.25">
      <c r="A1077" s="4">
        <v>1072</v>
      </c>
      <c r="B1077" s="3" t="str">
        <f>"00078214"</f>
        <v>00078214</v>
      </c>
    </row>
    <row r="1078" spans="1:2" x14ac:dyDescent="0.25">
      <c r="A1078" s="4">
        <v>1073</v>
      </c>
      <c r="B1078" s="3" t="str">
        <f>"00078286"</f>
        <v>00078286</v>
      </c>
    </row>
    <row r="1079" spans="1:2" x14ac:dyDescent="0.25">
      <c r="A1079" s="4">
        <v>1074</v>
      </c>
      <c r="B1079" s="3" t="str">
        <f>"00078311"</f>
        <v>00078311</v>
      </c>
    </row>
    <row r="1080" spans="1:2" x14ac:dyDescent="0.25">
      <c r="A1080" s="4">
        <v>1075</v>
      </c>
      <c r="B1080" s="3" t="str">
        <f>"00078350"</f>
        <v>00078350</v>
      </c>
    </row>
    <row r="1081" spans="1:2" x14ac:dyDescent="0.25">
      <c r="A1081" s="4">
        <v>1076</v>
      </c>
      <c r="B1081" s="3" t="str">
        <f>"00078503"</f>
        <v>00078503</v>
      </c>
    </row>
    <row r="1082" spans="1:2" x14ac:dyDescent="0.25">
      <c r="A1082" s="4">
        <v>1077</v>
      </c>
      <c r="B1082" s="3" t="str">
        <f>"00078689"</f>
        <v>00078689</v>
      </c>
    </row>
    <row r="1083" spans="1:2" x14ac:dyDescent="0.25">
      <c r="A1083" s="4">
        <v>1078</v>
      </c>
      <c r="B1083" s="3" t="str">
        <f>"00078763"</f>
        <v>00078763</v>
      </c>
    </row>
    <row r="1084" spans="1:2" x14ac:dyDescent="0.25">
      <c r="A1084" s="4">
        <v>1079</v>
      </c>
      <c r="B1084" s="3" t="str">
        <f>"00078769"</f>
        <v>00078769</v>
      </c>
    </row>
    <row r="1085" spans="1:2" x14ac:dyDescent="0.25">
      <c r="A1085" s="4">
        <v>1080</v>
      </c>
      <c r="B1085" s="3" t="str">
        <f>"00078847"</f>
        <v>00078847</v>
      </c>
    </row>
    <row r="1086" spans="1:2" x14ac:dyDescent="0.25">
      <c r="A1086" s="4">
        <v>1081</v>
      </c>
      <c r="B1086" s="3" t="str">
        <f>"00078998"</f>
        <v>00078998</v>
      </c>
    </row>
    <row r="1087" spans="1:2" x14ac:dyDescent="0.25">
      <c r="A1087" s="4">
        <v>1082</v>
      </c>
      <c r="B1087" s="3" t="str">
        <f>"00079022"</f>
        <v>00079022</v>
      </c>
    </row>
    <row r="1088" spans="1:2" x14ac:dyDescent="0.25">
      <c r="A1088" s="4">
        <v>1083</v>
      </c>
      <c r="B1088" s="3" t="str">
        <f>"00079104"</f>
        <v>00079104</v>
      </c>
    </row>
    <row r="1089" spans="1:2" x14ac:dyDescent="0.25">
      <c r="A1089" s="4">
        <v>1084</v>
      </c>
      <c r="B1089" s="3" t="str">
        <f>"00079117"</f>
        <v>00079117</v>
      </c>
    </row>
    <row r="1090" spans="1:2" x14ac:dyDescent="0.25">
      <c r="A1090" s="4">
        <v>1085</v>
      </c>
      <c r="B1090" s="3" t="str">
        <f>"00079141"</f>
        <v>00079141</v>
      </c>
    </row>
    <row r="1091" spans="1:2" x14ac:dyDescent="0.25">
      <c r="A1091" s="4">
        <v>1086</v>
      </c>
      <c r="B1091" s="3" t="str">
        <f>"00079148"</f>
        <v>00079148</v>
      </c>
    </row>
    <row r="1092" spans="1:2" x14ac:dyDescent="0.25">
      <c r="A1092" s="4">
        <v>1087</v>
      </c>
      <c r="B1092" s="3" t="str">
        <f>"00079154"</f>
        <v>00079154</v>
      </c>
    </row>
    <row r="1093" spans="1:2" x14ac:dyDescent="0.25">
      <c r="A1093" s="4">
        <v>1088</v>
      </c>
      <c r="B1093" s="3" t="str">
        <f>"00079161"</f>
        <v>00079161</v>
      </c>
    </row>
    <row r="1094" spans="1:2" x14ac:dyDescent="0.25">
      <c r="A1094" s="4">
        <v>1089</v>
      </c>
      <c r="B1094" s="3" t="str">
        <f>"00079186"</f>
        <v>00079186</v>
      </c>
    </row>
    <row r="1095" spans="1:2" x14ac:dyDescent="0.25">
      <c r="A1095" s="4">
        <v>1090</v>
      </c>
      <c r="B1095" s="3" t="str">
        <f>"00079207"</f>
        <v>00079207</v>
      </c>
    </row>
    <row r="1096" spans="1:2" x14ac:dyDescent="0.25">
      <c r="A1096" s="4">
        <v>1091</v>
      </c>
      <c r="B1096" s="3" t="str">
        <f>"00079231"</f>
        <v>00079231</v>
      </c>
    </row>
    <row r="1097" spans="1:2" x14ac:dyDescent="0.25">
      <c r="A1097" s="4">
        <v>1092</v>
      </c>
      <c r="B1097" s="3" t="str">
        <f>"00079236"</f>
        <v>00079236</v>
      </c>
    </row>
    <row r="1098" spans="1:2" x14ac:dyDescent="0.25">
      <c r="A1098" s="4">
        <v>1093</v>
      </c>
      <c r="B1098" s="3" t="str">
        <f>"00079251"</f>
        <v>00079251</v>
      </c>
    </row>
    <row r="1099" spans="1:2" x14ac:dyDescent="0.25">
      <c r="A1099" s="4">
        <v>1094</v>
      </c>
      <c r="B1099" s="3" t="str">
        <f>"00079273"</f>
        <v>00079273</v>
      </c>
    </row>
    <row r="1100" spans="1:2" x14ac:dyDescent="0.25">
      <c r="A1100" s="4">
        <v>1095</v>
      </c>
      <c r="B1100" s="3" t="str">
        <f>"00079278"</f>
        <v>00079278</v>
      </c>
    </row>
    <row r="1101" spans="1:2" x14ac:dyDescent="0.25">
      <c r="A1101" s="4">
        <v>1096</v>
      </c>
      <c r="B1101" s="3" t="str">
        <f>"00079382"</f>
        <v>00079382</v>
      </c>
    </row>
    <row r="1102" spans="1:2" x14ac:dyDescent="0.25">
      <c r="A1102" s="4">
        <v>1097</v>
      </c>
      <c r="B1102" s="3" t="str">
        <f>"00079401"</f>
        <v>00079401</v>
      </c>
    </row>
    <row r="1103" spans="1:2" x14ac:dyDescent="0.25">
      <c r="A1103" s="4">
        <v>1098</v>
      </c>
      <c r="B1103" s="3" t="str">
        <f>"00079403"</f>
        <v>00079403</v>
      </c>
    </row>
    <row r="1104" spans="1:2" x14ac:dyDescent="0.25">
      <c r="A1104" s="4">
        <v>1099</v>
      </c>
      <c r="B1104" s="3" t="str">
        <f>"00079435"</f>
        <v>00079435</v>
      </c>
    </row>
    <row r="1105" spans="1:2" x14ac:dyDescent="0.25">
      <c r="A1105" s="4">
        <v>1100</v>
      </c>
      <c r="B1105" s="3" t="str">
        <f>"00079436"</f>
        <v>00079436</v>
      </c>
    </row>
    <row r="1106" spans="1:2" x14ac:dyDescent="0.25">
      <c r="A1106" s="4">
        <v>1101</v>
      </c>
      <c r="B1106" s="3" t="str">
        <f>"00079543"</f>
        <v>00079543</v>
      </c>
    </row>
    <row r="1107" spans="1:2" x14ac:dyDescent="0.25">
      <c r="A1107" s="4">
        <v>1102</v>
      </c>
      <c r="B1107" s="3" t="str">
        <f>"00079555"</f>
        <v>00079555</v>
      </c>
    </row>
    <row r="1108" spans="1:2" x14ac:dyDescent="0.25">
      <c r="A1108" s="4">
        <v>1103</v>
      </c>
      <c r="B1108" s="3" t="str">
        <f>"00079615"</f>
        <v>00079615</v>
      </c>
    </row>
    <row r="1109" spans="1:2" x14ac:dyDescent="0.25">
      <c r="A1109" s="4">
        <v>1104</v>
      </c>
      <c r="B1109" s="3" t="str">
        <f>"00079667"</f>
        <v>00079667</v>
      </c>
    </row>
    <row r="1110" spans="1:2" x14ac:dyDescent="0.25">
      <c r="A1110" s="4">
        <v>1105</v>
      </c>
      <c r="B1110" s="3" t="str">
        <f>"00079789"</f>
        <v>00079789</v>
      </c>
    </row>
    <row r="1111" spans="1:2" x14ac:dyDescent="0.25">
      <c r="A1111" s="4">
        <v>1106</v>
      </c>
      <c r="B1111" s="3" t="str">
        <f>"00079793"</f>
        <v>00079793</v>
      </c>
    </row>
    <row r="1112" spans="1:2" x14ac:dyDescent="0.25">
      <c r="A1112" s="4">
        <v>1107</v>
      </c>
      <c r="B1112" s="3" t="str">
        <f>"00079797"</f>
        <v>00079797</v>
      </c>
    </row>
    <row r="1113" spans="1:2" x14ac:dyDescent="0.25">
      <c r="A1113" s="4">
        <v>1108</v>
      </c>
      <c r="B1113" s="3" t="str">
        <f>"00079911"</f>
        <v>00079911</v>
      </c>
    </row>
    <row r="1114" spans="1:2" x14ac:dyDescent="0.25">
      <c r="A1114" s="4">
        <v>1109</v>
      </c>
      <c r="B1114" s="3" t="str">
        <f>"00079991"</f>
        <v>00079991</v>
      </c>
    </row>
    <row r="1115" spans="1:2" x14ac:dyDescent="0.25">
      <c r="A1115" s="4">
        <v>1110</v>
      </c>
      <c r="B1115" s="3" t="str">
        <f>"00080027"</f>
        <v>00080027</v>
      </c>
    </row>
    <row r="1116" spans="1:2" x14ac:dyDescent="0.25">
      <c r="A1116" s="4">
        <v>1111</v>
      </c>
      <c r="B1116" s="3" t="str">
        <f>"00080073"</f>
        <v>00080073</v>
      </c>
    </row>
    <row r="1117" spans="1:2" x14ac:dyDescent="0.25">
      <c r="A1117" s="4">
        <v>1112</v>
      </c>
      <c r="B1117" s="3" t="str">
        <f>"00080200"</f>
        <v>00080200</v>
      </c>
    </row>
    <row r="1118" spans="1:2" x14ac:dyDescent="0.25">
      <c r="A1118" s="4">
        <v>1113</v>
      </c>
      <c r="B1118" s="3" t="str">
        <f>"00080276"</f>
        <v>00080276</v>
      </c>
    </row>
    <row r="1119" spans="1:2" x14ac:dyDescent="0.25">
      <c r="A1119" s="4">
        <v>1114</v>
      </c>
      <c r="B1119" s="3" t="str">
        <f>"00080327"</f>
        <v>00080327</v>
      </c>
    </row>
    <row r="1120" spans="1:2" x14ac:dyDescent="0.25">
      <c r="A1120" s="4">
        <v>1115</v>
      </c>
      <c r="B1120" s="3" t="str">
        <f>"00080347"</f>
        <v>00080347</v>
      </c>
    </row>
    <row r="1121" spans="1:2" x14ac:dyDescent="0.25">
      <c r="A1121" s="4">
        <v>1116</v>
      </c>
      <c r="B1121" s="3" t="str">
        <f>"00080398"</f>
        <v>00080398</v>
      </c>
    </row>
    <row r="1122" spans="1:2" x14ac:dyDescent="0.25">
      <c r="A1122" s="4">
        <v>1117</v>
      </c>
      <c r="B1122" s="3" t="str">
        <f>"00080426"</f>
        <v>00080426</v>
      </c>
    </row>
    <row r="1123" spans="1:2" x14ac:dyDescent="0.25">
      <c r="A1123" s="4">
        <v>1118</v>
      </c>
      <c r="B1123" s="3" t="str">
        <f>"00080461"</f>
        <v>00080461</v>
      </c>
    </row>
    <row r="1124" spans="1:2" x14ac:dyDescent="0.25">
      <c r="A1124" s="4">
        <v>1119</v>
      </c>
      <c r="B1124" s="3" t="str">
        <f>"00080463"</f>
        <v>00080463</v>
      </c>
    </row>
    <row r="1125" spans="1:2" x14ac:dyDescent="0.25">
      <c r="A1125" s="4">
        <v>1120</v>
      </c>
      <c r="B1125" s="3" t="str">
        <f>"00080695"</f>
        <v>00080695</v>
      </c>
    </row>
    <row r="1126" spans="1:2" x14ac:dyDescent="0.25">
      <c r="A1126" s="4">
        <v>1121</v>
      </c>
      <c r="B1126" s="3" t="str">
        <f>"00080818"</f>
        <v>00080818</v>
      </c>
    </row>
    <row r="1127" spans="1:2" x14ac:dyDescent="0.25">
      <c r="A1127" s="4">
        <v>1122</v>
      </c>
      <c r="B1127" s="3" t="str">
        <f>"00080864"</f>
        <v>00080864</v>
      </c>
    </row>
    <row r="1128" spans="1:2" x14ac:dyDescent="0.25">
      <c r="A1128" s="4">
        <v>1123</v>
      </c>
      <c r="B1128" s="3" t="str">
        <f>"00080901"</f>
        <v>00080901</v>
      </c>
    </row>
    <row r="1129" spans="1:2" x14ac:dyDescent="0.25">
      <c r="A1129" s="4">
        <v>1124</v>
      </c>
      <c r="B1129" s="3" t="str">
        <f>"00080927"</f>
        <v>00080927</v>
      </c>
    </row>
    <row r="1130" spans="1:2" x14ac:dyDescent="0.25">
      <c r="A1130" s="4">
        <v>1125</v>
      </c>
      <c r="B1130" s="3" t="str">
        <f>"00081043"</f>
        <v>00081043</v>
      </c>
    </row>
    <row r="1131" spans="1:2" x14ac:dyDescent="0.25">
      <c r="A1131" s="4">
        <v>1126</v>
      </c>
      <c r="B1131" s="3" t="str">
        <f>"00081162"</f>
        <v>00081162</v>
      </c>
    </row>
    <row r="1132" spans="1:2" x14ac:dyDescent="0.25">
      <c r="A1132" s="4">
        <v>1127</v>
      </c>
      <c r="B1132" s="3" t="str">
        <f>"00081169"</f>
        <v>00081169</v>
      </c>
    </row>
    <row r="1133" spans="1:2" x14ac:dyDescent="0.25">
      <c r="A1133" s="4">
        <v>1128</v>
      </c>
      <c r="B1133" s="3" t="str">
        <f>"00081183"</f>
        <v>00081183</v>
      </c>
    </row>
    <row r="1134" spans="1:2" x14ac:dyDescent="0.25">
      <c r="A1134" s="4">
        <v>1129</v>
      </c>
      <c r="B1134" s="3" t="str">
        <f>"00081188"</f>
        <v>00081188</v>
      </c>
    </row>
    <row r="1135" spans="1:2" x14ac:dyDescent="0.25">
      <c r="A1135" s="4">
        <v>1130</v>
      </c>
      <c r="B1135" s="3" t="str">
        <f>"00081232"</f>
        <v>00081232</v>
      </c>
    </row>
    <row r="1136" spans="1:2" x14ac:dyDescent="0.25">
      <c r="A1136" s="4">
        <v>1131</v>
      </c>
      <c r="B1136" s="3" t="str">
        <f>"00081304"</f>
        <v>00081304</v>
      </c>
    </row>
    <row r="1137" spans="1:2" x14ac:dyDescent="0.25">
      <c r="A1137" s="4">
        <v>1132</v>
      </c>
      <c r="B1137" s="3" t="str">
        <f>"00081411"</f>
        <v>00081411</v>
      </c>
    </row>
    <row r="1138" spans="1:2" x14ac:dyDescent="0.25">
      <c r="A1138" s="4">
        <v>1133</v>
      </c>
      <c r="B1138" s="3" t="str">
        <f>"00081413"</f>
        <v>00081413</v>
      </c>
    </row>
    <row r="1139" spans="1:2" x14ac:dyDescent="0.25">
      <c r="A1139" s="4">
        <v>1134</v>
      </c>
      <c r="B1139" s="3" t="str">
        <f>"00081435"</f>
        <v>00081435</v>
      </c>
    </row>
    <row r="1140" spans="1:2" x14ac:dyDescent="0.25">
      <c r="A1140" s="4">
        <v>1135</v>
      </c>
      <c r="B1140" s="3" t="str">
        <f>"00081638"</f>
        <v>00081638</v>
      </c>
    </row>
    <row r="1141" spans="1:2" x14ac:dyDescent="0.25">
      <c r="A1141" s="4">
        <v>1136</v>
      </c>
      <c r="B1141" s="3" t="str">
        <f>"00081812"</f>
        <v>00081812</v>
      </c>
    </row>
    <row r="1142" spans="1:2" x14ac:dyDescent="0.25">
      <c r="A1142" s="4">
        <v>1137</v>
      </c>
      <c r="B1142" s="3" t="str">
        <f>"00081830"</f>
        <v>00081830</v>
      </c>
    </row>
    <row r="1143" spans="1:2" x14ac:dyDescent="0.25">
      <c r="A1143" s="4">
        <v>1138</v>
      </c>
      <c r="B1143" s="3" t="str">
        <f>"00081964"</f>
        <v>00081964</v>
      </c>
    </row>
    <row r="1144" spans="1:2" x14ac:dyDescent="0.25">
      <c r="A1144" s="4">
        <v>1139</v>
      </c>
      <c r="B1144" s="3" t="str">
        <f>"00081973"</f>
        <v>00081973</v>
      </c>
    </row>
    <row r="1145" spans="1:2" x14ac:dyDescent="0.25">
      <c r="A1145" s="4">
        <v>1140</v>
      </c>
      <c r="B1145" s="3" t="str">
        <f>"00082726"</f>
        <v>00082726</v>
      </c>
    </row>
    <row r="1146" spans="1:2" x14ac:dyDescent="0.25">
      <c r="A1146" s="4">
        <v>1141</v>
      </c>
      <c r="B1146" s="3" t="str">
        <f>"00082749"</f>
        <v>00082749</v>
      </c>
    </row>
    <row r="1147" spans="1:2" x14ac:dyDescent="0.25">
      <c r="A1147" s="4">
        <v>1142</v>
      </c>
      <c r="B1147" s="3" t="str">
        <f>"00082771"</f>
        <v>00082771</v>
      </c>
    </row>
    <row r="1148" spans="1:2" x14ac:dyDescent="0.25">
      <c r="A1148" s="4">
        <v>1143</v>
      </c>
      <c r="B1148" s="3" t="str">
        <f>"00082872"</f>
        <v>00082872</v>
      </c>
    </row>
    <row r="1149" spans="1:2" x14ac:dyDescent="0.25">
      <c r="A1149" s="4">
        <v>1144</v>
      </c>
      <c r="B1149" s="3" t="str">
        <f>"00083015"</f>
        <v>00083015</v>
      </c>
    </row>
    <row r="1150" spans="1:2" x14ac:dyDescent="0.25">
      <c r="A1150" s="4">
        <v>1145</v>
      </c>
      <c r="B1150" s="3" t="str">
        <f>"00083172"</f>
        <v>00083172</v>
      </c>
    </row>
    <row r="1151" spans="1:2" x14ac:dyDescent="0.25">
      <c r="A1151" s="4">
        <v>1146</v>
      </c>
      <c r="B1151" s="3" t="str">
        <f>"00083268"</f>
        <v>00083268</v>
      </c>
    </row>
    <row r="1152" spans="1:2" x14ac:dyDescent="0.25">
      <c r="A1152" s="4">
        <v>1147</v>
      </c>
      <c r="B1152" s="3" t="str">
        <f>"00083282"</f>
        <v>00083282</v>
      </c>
    </row>
    <row r="1153" spans="1:2" x14ac:dyDescent="0.25">
      <c r="A1153" s="4">
        <v>1148</v>
      </c>
      <c r="B1153" s="3" t="str">
        <f>"00083301"</f>
        <v>00083301</v>
      </c>
    </row>
    <row r="1154" spans="1:2" x14ac:dyDescent="0.25">
      <c r="A1154" s="4">
        <v>1149</v>
      </c>
      <c r="B1154" s="3" t="str">
        <f>"00083341"</f>
        <v>00083341</v>
      </c>
    </row>
    <row r="1155" spans="1:2" x14ac:dyDescent="0.25">
      <c r="A1155" s="4">
        <v>1150</v>
      </c>
      <c r="B1155" s="3" t="str">
        <f>"00083354"</f>
        <v>00083354</v>
      </c>
    </row>
    <row r="1156" spans="1:2" x14ac:dyDescent="0.25">
      <c r="A1156" s="4">
        <v>1151</v>
      </c>
      <c r="B1156" s="3" t="str">
        <f>"00083614"</f>
        <v>00083614</v>
      </c>
    </row>
    <row r="1157" spans="1:2" x14ac:dyDescent="0.25">
      <c r="A1157" s="4">
        <v>1152</v>
      </c>
      <c r="B1157" s="3" t="str">
        <f>"00083650"</f>
        <v>00083650</v>
      </c>
    </row>
    <row r="1158" spans="1:2" x14ac:dyDescent="0.25">
      <c r="A1158" s="4">
        <v>1153</v>
      </c>
      <c r="B1158" s="3" t="str">
        <f>"00083682"</f>
        <v>00083682</v>
      </c>
    </row>
    <row r="1159" spans="1:2" x14ac:dyDescent="0.25">
      <c r="A1159" s="4">
        <v>1154</v>
      </c>
      <c r="B1159" s="3" t="str">
        <f>"00083821"</f>
        <v>00083821</v>
      </c>
    </row>
    <row r="1160" spans="1:2" x14ac:dyDescent="0.25">
      <c r="A1160" s="4">
        <v>1155</v>
      </c>
      <c r="B1160" s="3" t="str">
        <f>"00083833"</f>
        <v>00083833</v>
      </c>
    </row>
    <row r="1161" spans="1:2" x14ac:dyDescent="0.25">
      <c r="A1161" s="4">
        <v>1156</v>
      </c>
      <c r="B1161" s="3" t="str">
        <f>"00083838"</f>
        <v>00083838</v>
      </c>
    </row>
    <row r="1162" spans="1:2" x14ac:dyDescent="0.25">
      <c r="A1162" s="4">
        <v>1157</v>
      </c>
      <c r="B1162" s="3" t="str">
        <f>"00083922"</f>
        <v>00083922</v>
      </c>
    </row>
    <row r="1163" spans="1:2" x14ac:dyDescent="0.25">
      <c r="A1163" s="4">
        <v>1158</v>
      </c>
      <c r="B1163" s="3" t="str">
        <f>"00084002"</f>
        <v>00084002</v>
      </c>
    </row>
    <row r="1164" spans="1:2" x14ac:dyDescent="0.25">
      <c r="A1164" s="4">
        <v>1159</v>
      </c>
      <c r="B1164" s="3" t="str">
        <f>"00084019"</f>
        <v>00084019</v>
      </c>
    </row>
    <row r="1165" spans="1:2" x14ac:dyDescent="0.25">
      <c r="A1165" s="4">
        <v>1160</v>
      </c>
      <c r="B1165" s="3" t="str">
        <f>"00084044"</f>
        <v>00084044</v>
      </c>
    </row>
    <row r="1166" spans="1:2" x14ac:dyDescent="0.25">
      <c r="A1166" s="4">
        <v>1161</v>
      </c>
      <c r="B1166" s="3" t="str">
        <f>"00084070"</f>
        <v>00084070</v>
      </c>
    </row>
    <row r="1167" spans="1:2" x14ac:dyDescent="0.25">
      <c r="A1167" s="4">
        <v>1162</v>
      </c>
      <c r="B1167" s="3" t="str">
        <f>"00084194"</f>
        <v>00084194</v>
      </c>
    </row>
    <row r="1168" spans="1:2" x14ac:dyDescent="0.25">
      <c r="A1168" s="4">
        <v>1163</v>
      </c>
      <c r="B1168" s="3" t="str">
        <f>"00084207"</f>
        <v>00084207</v>
      </c>
    </row>
    <row r="1169" spans="1:2" x14ac:dyDescent="0.25">
      <c r="A1169" s="4">
        <v>1164</v>
      </c>
      <c r="B1169" s="3" t="str">
        <f>"00084262"</f>
        <v>00084262</v>
      </c>
    </row>
    <row r="1170" spans="1:2" x14ac:dyDescent="0.25">
      <c r="A1170" s="4">
        <v>1165</v>
      </c>
      <c r="B1170" s="3" t="str">
        <f>"00084300"</f>
        <v>00084300</v>
      </c>
    </row>
    <row r="1171" spans="1:2" x14ac:dyDescent="0.25">
      <c r="A1171" s="4">
        <v>1166</v>
      </c>
      <c r="B1171" s="3" t="str">
        <f>"00084371"</f>
        <v>00084371</v>
      </c>
    </row>
    <row r="1172" spans="1:2" x14ac:dyDescent="0.25">
      <c r="A1172" s="4">
        <v>1167</v>
      </c>
      <c r="B1172" s="3" t="str">
        <f>"00084376"</f>
        <v>00084376</v>
      </c>
    </row>
    <row r="1173" spans="1:2" x14ac:dyDescent="0.25">
      <c r="A1173" s="4">
        <v>1168</v>
      </c>
      <c r="B1173" s="3" t="str">
        <f>"00084428"</f>
        <v>00084428</v>
      </c>
    </row>
    <row r="1174" spans="1:2" x14ac:dyDescent="0.25">
      <c r="A1174" s="4">
        <v>1169</v>
      </c>
      <c r="B1174" s="3" t="str">
        <f>"00084468"</f>
        <v>00084468</v>
      </c>
    </row>
    <row r="1175" spans="1:2" x14ac:dyDescent="0.25">
      <c r="A1175" s="4">
        <v>1170</v>
      </c>
      <c r="B1175" s="3" t="str">
        <f>"00084481"</f>
        <v>00084481</v>
      </c>
    </row>
    <row r="1176" spans="1:2" x14ac:dyDescent="0.25">
      <c r="A1176" s="4">
        <v>1171</v>
      </c>
      <c r="B1176" s="3" t="str">
        <f>"00084501"</f>
        <v>00084501</v>
      </c>
    </row>
    <row r="1177" spans="1:2" x14ac:dyDescent="0.25">
      <c r="A1177" s="4">
        <v>1172</v>
      </c>
      <c r="B1177" s="3" t="str">
        <f>"00084516"</f>
        <v>00084516</v>
      </c>
    </row>
    <row r="1178" spans="1:2" x14ac:dyDescent="0.25">
      <c r="A1178" s="4">
        <v>1173</v>
      </c>
      <c r="B1178" s="3" t="str">
        <f>"00084563"</f>
        <v>00084563</v>
      </c>
    </row>
    <row r="1179" spans="1:2" x14ac:dyDescent="0.25">
      <c r="A1179" s="4">
        <v>1174</v>
      </c>
      <c r="B1179" s="3" t="str">
        <f>"00084592"</f>
        <v>00084592</v>
      </c>
    </row>
    <row r="1180" spans="1:2" x14ac:dyDescent="0.25">
      <c r="A1180" s="4">
        <v>1175</v>
      </c>
      <c r="B1180" s="3" t="str">
        <f>"00084696"</f>
        <v>00084696</v>
      </c>
    </row>
    <row r="1181" spans="1:2" x14ac:dyDescent="0.25">
      <c r="A1181" s="4">
        <v>1176</v>
      </c>
      <c r="B1181" s="3" t="str">
        <f>"00084747"</f>
        <v>00084747</v>
      </c>
    </row>
    <row r="1182" spans="1:2" x14ac:dyDescent="0.25">
      <c r="A1182" s="4">
        <v>1177</v>
      </c>
      <c r="B1182" s="3" t="str">
        <f>"00084871"</f>
        <v>00084871</v>
      </c>
    </row>
    <row r="1183" spans="1:2" x14ac:dyDescent="0.25">
      <c r="A1183" s="4">
        <v>1178</v>
      </c>
      <c r="B1183" s="3" t="str">
        <f>"00084876"</f>
        <v>00084876</v>
      </c>
    </row>
    <row r="1184" spans="1:2" x14ac:dyDescent="0.25">
      <c r="A1184" s="4">
        <v>1179</v>
      </c>
      <c r="B1184" s="3" t="str">
        <f>"00084945"</f>
        <v>00084945</v>
      </c>
    </row>
    <row r="1185" spans="1:2" x14ac:dyDescent="0.25">
      <c r="A1185" s="4">
        <v>1180</v>
      </c>
      <c r="B1185" s="3" t="str">
        <f>"00084972"</f>
        <v>00084972</v>
      </c>
    </row>
    <row r="1186" spans="1:2" x14ac:dyDescent="0.25">
      <c r="A1186" s="4">
        <v>1181</v>
      </c>
      <c r="B1186" s="3" t="str">
        <f>"00085024"</f>
        <v>00085024</v>
      </c>
    </row>
    <row r="1187" spans="1:2" x14ac:dyDescent="0.25">
      <c r="A1187" s="4">
        <v>1182</v>
      </c>
      <c r="B1187" s="3" t="str">
        <f>"00085026"</f>
        <v>00085026</v>
      </c>
    </row>
    <row r="1188" spans="1:2" x14ac:dyDescent="0.25">
      <c r="A1188" s="4">
        <v>1183</v>
      </c>
      <c r="B1188" s="3" t="str">
        <f>"00085070"</f>
        <v>00085070</v>
      </c>
    </row>
    <row r="1189" spans="1:2" x14ac:dyDescent="0.25">
      <c r="A1189" s="4">
        <v>1184</v>
      </c>
      <c r="B1189" s="3" t="str">
        <f>"00085159"</f>
        <v>00085159</v>
      </c>
    </row>
    <row r="1190" spans="1:2" x14ac:dyDescent="0.25">
      <c r="A1190" s="4">
        <v>1185</v>
      </c>
      <c r="B1190" s="3" t="str">
        <f>"00085213"</f>
        <v>00085213</v>
      </c>
    </row>
    <row r="1191" spans="1:2" x14ac:dyDescent="0.25">
      <c r="A1191" s="4">
        <v>1186</v>
      </c>
      <c r="B1191" s="3" t="str">
        <f>"00085240"</f>
        <v>00085240</v>
      </c>
    </row>
    <row r="1192" spans="1:2" x14ac:dyDescent="0.25">
      <c r="A1192" s="4">
        <v>1187</v>
      </c>
      <c r="B1192" s="3" t="str">
        <f>"00085257"</f>
        <v>00085257</v>
      </c>
    </row>
    <row r="1193" spans="1:2" x14ac:dyDescent="0.25">
      <c r="A1193" s="4">
        <v>1188</v>
      </c>
      <c r="B1193" s="3" t="str">
        <f>"00085320"</f>
        <v>00085320</v>
      </c>
    </row>
    <row r="1194" spans="1:2" x14ac:dyDescent="0.25">
      <c r="A1194" s="4">
        <v>1189</v>
      </c>
      <c r="B1194" s="3" t="str">
        <f>"00085402"</f>
        <v>00085402</v>
      </c>
    </row>
    <row r="1195" spans="1:2" x14ac:dyDescent="0.25">
      <c r="A1195" s="4">
        <v>1190</v>
      </c>
      <c r="B1195" s="3" t="str">
        <f>"00085404"</f>
        <v>00085404</v>
      </c>
    </row>
    <row r="1196" spans="1:2" x14ac:dyDescent="0.25">
      <c r="A1196" s="4">
        <v>1191</v>
      </c>
      <c r="B1196" s="3" t="str">
        <f>"00085425"</f>
        <v>00085425</v>
      </c>
    </row>
    <row r="1197" spans="1:2" x14ac:dyDescent="0.25">
      <c r="A1197" s="4">
        <v>1192</v>
      </c>
      <c r="B1197" s="3" t="str">
        <f>"00085576"</f>
        <v>00085576</v>
      </c>
    </row>
    <row r="1198" spans="1:2" x14ac:dyDescent="0.25">
      <c r="A1198" s="4">
        <v>1193</v>
      </c>
      <c r="B1198" s="3" t="str">
        <f>"00085725"</f>
        <v>00085725</v>
      </c>
    </row>
    <row r="1199" spans="1:2" x14ac:dyDescent="0.25">
      <c r="A1199" s="4">
        <v>1194</v>
      </c>
      <c r="B1199" s="3" t="str">
        <f>"00085813"</f>
        <v>00085813</v>
      </c>
    </row>
    <row r="1200" spans="1:2" x14ac:dyDescent="0.25">
      <c r="A1200" s="4">
        <v>1195</v>
      </c>
      <c r="B1200" s="3" t="str">
        <f>"00085862"</f>
        <v>00085862</v>
      </c>
    </row>
    <row r="1201" spans="1:2" x14ac:dyDescent="0.25">
      <c r="A1201" s="4">
        <v>1196</v>
      </c>
      <c r="B1201" s="3" t="str">
        <f>"00085886"</f>
        <v>00085886</v>
      </c>
    </row>
    <row r="1202" spans="1:2" x14ac:dyDescent="0.25">
      <c r="A1202" s="4">
        <v>1197</v>
      </c>
      <c r="B1202" s="3" t="str">
        <f>"00085915"</f>
        <v>00085915</v>
      </c>
    </row>
    <row r="1203" spans="1:2" x14ac:dyDescent="0.25">
      <c r="A1203" s="4">
        <v>1198</v>
      </c>
      <c r="B1203" s="3" t="str">
        <f>"00085929"</f>
        <v>00085929</v>
      </c>
    </row>
    <row r="1204" spans="1:2" x14ac:dyDescent="0.25">
      <c r="A1204" s="4">
        <v>1199</v>
      </c>
      <c r="B1204" s="3" t="str">
        <f>"00085942"</f>
        <v>00085942</v>
      </c>
    </row>
    <row r="1205" spans="1:2" x14ac:dyDescent="0.25">
      <c r="A1205" s="4">
        <v>1200</v>
      </c>
      <c r="B1205" s="3" t="str">
        <f>"00086073"</f>
        <v>00086073</v>
      </c>
    </row>
    <row r="1206" spans="1:2" x14ac:dyDescent="0.25">
      <c r="A1206" s="4">
        <v>1201</v>
      </c>
      <c r="B1206" s="3" t="str">
        <f>"00086095"</f>
        <v>00086095</v>
      </c>
    </row>
    <row r="1207" spans="1:2" x14ac:dyDescent="0.25">
      <c r="A1207" s="4">
        <v>1202</v>
      </c>
      <c r="B1207" s="3" t="str">
        <f>"00086110"</f>
        <v>00086110</v>
      </c>
    </row>
    <row r="1208" spans="1:2" x14ac:dyDescent="0.25">
      <c r="A1208" s="4">
        <v>1203</v>
      </c>
      <c r="B1208" s="3" t="str">
        <f>"00086191"</f>
        <v>00086191</v>
      </c>
    </row>
    <row r="1209" spans="1:2" x14ac:dyDescent="0.25">
      <c r="A1209" s="4">
        <v>1204</v>
      </c>
      <c r="B1209" s="3" t="str">
        <f>"00086369"</f>
        <v>00086369</v>
      </c>
    </row>
    <row r="1210" spans="1:2" x14ac:dyDescent="0.25">
      <c r="A1210" s="4">
        <v>1205</v>
      </c>
      <c r="B1210" s="3" t="str">
        <f>"00086386"</f>
        <v>00086386</v>
      </c>
    </row>
    <row r="1211" spans="1:2" x14ac:dyDescent="0.25">
      <c r="A1211" s="4">
        <v>1206</v>
      </c>
      <c r="B1211" s="3" t="str">
        <f>"00086469"</f>
        <v>00086469</v>
      </c>
    </row>
    <row r="1212" spans="1:2" x14ac:dyDescent="0.25">
      <c r="A1212" s="4">
        <v>1207</v>
      </c>
      <c r="B1212" s="3" t="str">
        <f>"00086519"</f>
        <v>00086519</v>
      </c>
    </row>
    <row r="1213" spans="1:2" x14ac:dyDescent="0.25">
      <c r="A1213" s="4">
        <v>1208</v>
      </c>
      <c r="B1213" s="3" t="str">
        <f>"00086549"</f>
        <v>00086549</v>
      </c>
    </row>
    <row r="1214" spans="1:2" x14ac:dyDescent="0.25">
      <c r="A1214" s="4">
        <v>1209</v>
      </c>
      <c r="B1214" s="3" t="str">
        <f>"00086601"</f>
        <v>00086601</v>
      </c>
    </row>
    <row r="1215" spans="1:2" x14ac:dyDescent="0.25">
      <c r="A1215" s="4">
        <v>1210</v>
      </c>
      <c r="B1215" s="3" t="str">
        <f>"00086610"</f>
        <v>00086610</v>
      </c>
    </row>
    <row r="1216" spans="1:2" x14ac:dyDescent="0.25">
      <c r="A1216" s="4">
        <v>1211</v>
      </c>
      <c r="B1216" s="3" t="str">
        <f>"00086628"</f>
        <v>00086628</v>
      </c>
    </row>
    <row r="1217" spans="1:2" x14ac:dyDescent="0.25">
      <c r="A1217" s="4">
        <v>1212</v>
      </c>
      <c r="B1217" s="3" t="str">
        <f>"00086701"</f>
        <v>00086701</v>
      </c>
    </row>
    <row r="1218" spans="1:2" x14ac:dyDescent="0.25">
      <c r="A1218" s="4">
        <v>1213</v>
      </c>
      <c r="B1218" s="3" t="str">
        <f>"00086733"</f>
        <v>00086733</v>
      </c>
    </row>
    <row r="1219" spans="1:2" x14ac:dyDescent="0.25">
      <c r="A1219" s="4">
        <v>1214</v>
      </c>
      <c r="B1219" s="3" t="str">
        <f>"00086762"</f>
        <v>00086762</v>
      </c>
    </row>
    <row r="1220" spans="1:2" x14ac:dyDescent="0.25">
      <c r="A1220" s="4">
        <v>1215</v>
      </c>
      <c r="B1220" s="3" t="str">
        <f>"00086763"</f>
        <v>00086763</v>
      </c>
    </row>
    <row r="1221" spans="1:2" x14ac:dyDescent="0.25">
      <c r="A1221" s="4">
        <v>1216</v>
      </c>
      <c r="B1221" s="3" t="str">
        <f>"00086836"</f>
        <v>00086836</v>
      </c>
    </row>
    <row r="1222" spans="1:2" x14ac:dyDescent="0.25">
      <c r="A1222" s="4">
        <v>1217</v>
      </c>
      <c r="B1222" s="3" t="str">
        <f>"00086881"</f>
        <v>00086881</v>
      </c>
    </row>
    <row r="1223" spans="1:2" x14ac:dyDescent="0.25">
      <c r="A1223" s="4">
        <v>1218</v>
      </c>
      <c r="B1223" s="3" t="str">
        <f>"00086893"</f>
        <v>00086893</v>
      </c>
    </row>
    <row r="1224" spans="1:2" x14ac:dyDescent="0.25">
      <c r="A1224" s="4">
        <v>1219</v>
      </c>
      <c r="B1224" s="3" t="str">
        <f>"00086933"</f>
        <v>00086933</v>
      </c>
    </row>
    <row r="1225" spans="1:2" x14ac:dyDescent="0.25">
      <c r="A1225" s="4">
        <v>1220</v>
      </c>
      <c r="B1225" s="3" t="str">
        <f>"00087010"</f>
        <v>00087010</v>
      </c>
    </row>
    <row r="1226" spans="1:2" x14ac:dyDescent="0.25">
      <c r="A1226" s="4">
        <v>1221</v>
      </c>
      <c r="B1226" s="3" t="str">
        <f>"00087032"</f>
        <v>00087032</v>
      </c>
    </row>
    <row r="1227" spans="1:2" x14ac:dyDescent="0.25">
      <c r="A1227" s="4">
        <v>1222</v>
      </c>
      <c r="B1227" s="3" t="str">
        <f>"00087157"</f>
        <v>00087157</v>
      </c>
    </row>
    <row r="1228" spans="1:2" x14ac:dyDescent="0.25">
      <c r="A1228" s="4">
        <v>1223</v>
      </c>
      <c r="B1228" s="3" t="str">
        <f>"00087176"</f>
        <v>00087176</v>
      </c>
    </row>
    <row r="1229" spans="1:2" x14ac:dyDescent="0.25">
      <c r="A1229" s="4">
        <v>1224</v>
      </c>
      <c r="B1229" s="3" t="str">
        <f>"00087185"</f>
        <v>00087185</v>
      </c>
    </row>
    <row r="1230" spans="1:2" x14ac:dyDescent="0.25">
      <c r="A1230" s="4">
        <v>1225</v>
      </c>
      <c r="B1230" s="3" t="str">
        <f>"00087187"</f>
        <v>00087187</v>
      </c>
    </row>
    <row r="1231" spans="1:2" x14ac:dyDescent="0.25">
      <c r="A1231" s="4">
        <v>1226</v>
      </c>
      <c r="B1231" s="3" t="str">
        <f>"00087222"</f>
        <v>00087222</v>
      </c>
    </row>
    <row r="1232" spans="1:2" x14ac:dyDescent="0.25">
      <c r="A1232" s="4">
        <v>1227</v>
      </c>
      <c r="B1232" s="3" t="str">
        <f>"00087227"</f>
        <v>00087227</v>
      </c>
    </row>
    <row r="1233" spans="1:2" x14ac:dyDescent="0.25">
      <c r="A1233" s="4">
        <v>1228</v>
      </c>
      <c r="B1233" s="3" t="str">
        <f>"00087253"</f>
        <v>00087253</v>
      </c>
    </row>
    <row r="1234" spans="1:2" x14ac:dyDescent="0.25">
      <c r="A1234" s="4">
        <v>1229</v>
      </c>
      <c r="B1234" s="3" t="str">
        <f>"00087350"</f>
        <v>00087350</v>
      </c>
    </row>
    <row r="1235" spans="1:2" x14ac:dyDescent="0.25">
      <c r="A1235" s="4">
        <v>1230</v>
      </c>
      <c r="B1235" s="3" t="str">
        <f>"00087435"</f>
        <v>00087435</v>
      </c>
    </row>
    <row r="1236" spans="1:2" x14ac:dyDescent="0.25">
      <c r="A1236" s="4">
        <v>1231</v>
      </c>
      <c r="B1236" s="3" t="str">
        <f>"00087496"</f>
        <v>00087496</v>
      </c>
    </row>
    <row r="1237" spans="1:2" x14ac:dyDescent="0.25">
      <c r="A1237" s="4">
        <v>1232</v>
      </c>
      <c r="B1237" s="3" t="str">
        <f>"00087550"</f>
        <v>00087550</v>
      </c>
    </row>
    <row r="1238" spans="1:2" x14ac:dyDescent="0.25">
      <c r="A1238" s="4">
        <v>1233</v>
      </c>
      <c r="B1238" s="3" t="str">
        <f>"00087580"</f>
        <v>00087580</v>
      </c>
    </row>
    <row r="1239" spans="1:2" x14ac:dyDescent="0.25">
      <c r="A1239" s="4">
        <v>1234</v>
      </c>
      <c r="B1239" s="3" t="str">
        <f>"00087708"</f>
        <v>00087708</v>
      </c>
    </row>
    <row r="1240" spans="1:2" x14ac:dyDescent="0.25">
      <c r="A1240" s="4">
        <v>1235</v>
      </c>
      <c r="B1240" s="3" t="str">
        <f>"00087948"</f>
        <v>00087948</v>
      </c>
    </row>
    <row r="1241" spans="1:2" x14ac:dyDescent="0.25">
      <c r="A1241" s="4">
        <v>1236</v>
      </c>
      <c r="B1241" s="3" t="str">
        <f>"00087952"</f>
        <v>00087952</v>
      </c>
    </row>
    <row r="1242" spans="1:2" x14ac:dyDescent="0.25">
      <c r="A1242" s="4">
        <v>1237</v>
      </c>
      <c r="B1242" s="3" t="str">
        <f>"00088052"</f>
        <v>00088052</v>
      </c>
    </row>
    <row r="1243" spans="1:2" x14ac:dyDescent="0.25">
      <c r="A1243" s="4">
        <v>1238</v>
      </c>
      <c r="B1243" s="3" t="str">
        <f>"00088059"</f>
        <v>00088059</v>
      </c>
    </row>
    <row r="1244" spans="1:2" x14ac:dyDescent="0.25">
      <c r="A1244" s="4">
        <v>1239</v>
      </c>
      <c r="B1244" s="3" t="str">
        <f>"00088099"</f>
        <v>00088099</v>
      </c>
    </row>
    <row r="1245" spans="1:2" x14ac:dyDescent="0.25">
      <c r="A1245" s="4">
        <v>1240</v>
      </c>
      <c r="B1245" s="3" t="str">
        <f>"00088117"</f>
        <v>00088117</v>
      </c>
    </row>
    <row r="1246" spans="1:2" x14ac:dyDescent="0.25">
      <c r="A1246" s="4">
        <v>1241</v>
      </c>
      <c r="B1246" s="3" t="str">
        <f>"00088267"</f>
        <v>00088267</v>
      </c>
    </row>
    <row r="1247" spans="1:2" x14ac:dyDescent="0.25">
      <c r="A1247" s="4">
        <v>1242</v>
      </c>
      <c r="B1247" s="3" t="str">
        <f>"00088292"</f>
        <v>00088292</v>
      </c>
    </row>
    <row r="1248" spans="1:2" x14ac:dyDescent="0.25">
      <c r="A1248" s="4">
        <v>1243</v>
      </c>
      <c r="B1248" s="3" t="str">
        <f>"00088621"</f>
        <v>00088621</v>
      </c>
    </row>
    <row r="1249" spans="1:2" x14ac:dyDescent="0.25">
      <c r="A1249" s="4">
        <v>1244</v>
      </c>
      <c r="B1249" s="3" t="str">
        <f>"00088641"</f>
        <v>00088641</v>
      </c>
    </row>
    <row r="1250" spans="1:2" x14ac:dyDescent="0.25">
      <c r="A1250" s="4">
        <v>1245</v>
      </c>
      <c r="B1250" s="3" t="str">
        <f>"00088648"</f>
        <v>00088648</v>
      </c>
    </row>
    <row r="1251" spans="1:2" x14ac:dyDescent="0.25">
      <c r="A1251" s="4">
        <v>1246</v>
      </c>
      <c r="B1251" s="3" t="str">
        <f>"00088729"</f>
        <v>00088729</v>
      </c>
    </row>
    <row r="1252" spans="1:2" x14ac:dyDescent="0.25">
      <c r="A1252" s="4">
        <v>1247</v>
      </c>
      <c r="B1252" s="3" t="str">
        <f>"00088734"</f>
        <v>00088734</v>
      </c>
    </row>
    <row r="1253" spans="1:2" x14ac:dyDescent="0.25">
      <c r="A1253" s="4">
        <v>1248</v>
      </c>
      <c r="B1253" s="3" t="str">
        <f>"00089058"</f>
        <v>00089058</v>
      </c>
    </row>
    <row r="1254" spans="1:2" x14ac:dyDescent="0.25">
      <c r="A1254" s="4">
        <v>1249</v>
      </c>
      <c r="B1254" s="3" t="str">
        <f>"00089059"</f>
        <v>00089059</v>
      </c>
    </row>
    <row r="1255" spans="1:2" x14ac:dyDescent="0.25">
      <c r="A1255" s="4">
        <v>1250</v>
      </c>
      <c r="B1255" s="3" t="str">
        <f>"00089062"</f>
        <v>00089062</v>
      </c>
    </row>
    <row r="1256" spans="1:2" x14ac:dyDescent="0.25">
      <c r="A1256" s="4">
        <v>1251</v>
      </c>
      <c r="B1256" s="3" t="str">
        <f>"00089071"</f>
        <v>00089071</v>
      </c>
    </row>
    <row r="1257" spans="1:2" x14ac:dyDescent="0.25">
      <c r="A1257" s="4">
        <v>1252</v>
      </c>
      <c r="B1257" s="3" t="str">
        <f>"00089097"</f>
        <v>00089097</v>
      </c>
    </row>
    <row r="1258" spans="1:2" x14ac:dyDescent="0.25">
      <c r="A1258" s="4">
        <v>1253</v>
      </c>
      <c r="B1258" s="3" t="str">
        <f>"00089113"</f>
        <v>00089113</v>
      </c>
    </row>
    <row r="1259" spans="1:2" x14ac:dyDescent="0.25">
      <c r="A1259" s="4">
        <v>1254</v>
      </c>
      <c r="B1259" s="3" t="str">
        <f>"00089129"</f>
        <v>00089129</v>
      </c>
    </row>
    <row r="1260" spans="1:2" x14ac:dyDescent="0.25">
      <c r="A1260" s="4">
        <v>1255</v>
      </c>
      <c r="B1260" s="3" t="str">
        <f>"00089180"</f>
        <v>00089180</v>
      </c>
    </row>
    <row r="1261" spans="1:2" x14ac:dyDescent="0.25">
      <c r="A1261" s="4">
        <v>1256</v>
      </c>
      <c r="B1261" s="3" t="str">
        <f>"00089191"</f>
        <v>00089191</v>
      </c>
    </row>
    <row r="1262" spans="1:2" x14ac:dyDescent="0.25">
      <c r="A1262" s="4">
        <v>1257</v>
      </c>
      <c r="B1262" s="3" t="str">
        <f>"00089249"</f>
        <v>00089249</v>
      </c>
    </row>
    <row r="1263" spans="1:2" x14ac:dyDescent="0.25">
      <c r="A1263" s="4">
        <v>1258</v>
      </c>
      <c r="B1263" s="3" t="str">
        <f>"00089268"</f>
        <v>00089268</v>
      </c>
    </row>
    <row r="1264" spans="1:2" x14ac:dyDescent="0.25">
      <c r="A1264" s="4">
        <v>1259</v>
      </c>
      <c r="B1264" s="3" t="str">
        <f>"00089280"</f>
        <v>00089280</v>
      </c>
    </row>
    <row r="1265" spans="1:2" x14ac:dyDescent="0.25">
      <c r="A1265" s="4">
        <v>1260</v>
      </c>
      <c r="B1265" s="3" t="str">
        <f>"00089340"</f>
        <v>00089340</v>
      </c>
    </row>
    <row r="1266" spans="1:2" x14ac:dyDescent="0.25">
      <c r="A1266" s="4">
        <v>1261</v>
      </c>
      <c r="B1266" s="3" t="str">
        <f>"00089368"</f>
        <v>00089368</v>
      </c>
    </row>
    <row r="1267" spans="1:2" x14ac:dyDescent="0.25">
      <c r="A1267" s="4">
        <v>1262</v>
      </c>
      <c r="B1267" s="3" t="str">
        <f>"00089376"</f>
        <v>00089376</v>
      </c>
    </row>
    <row r="1268" spans="1:2" x14ac:dyDescent="0.25">
      <c r="A1268" s="4">
        <v>1263</v>
      </c>
      <c r="B1268" s="3" t="str">
        <f>"00089386"</f>
        <v>00089386</v>
      </c>
    </row>
    <row r="1269" spans="1:2" x14ac:dyDescent="0.25">
      <c r="A1269" s="4">
        <v>1264</v>
      </c>
      <c r="B1269" s="3" t="str">
        <f>"00089404"</f>
        <v>00089404</v>
      </c>
    </row>
    <row r="1270" spans="1:2" x14ac:dyDescent="0.25">
      <c r="A1270" s="4">
        <v>1265</v>
      </c>
      <c r="B1270" s="3" t="str">
        <f>"00089462"</f>
        <v>00089462</v>
      </c>
    </row>
    <row r="1271" spans="1:2" x14ac:dyDescent="0.25">
      <c r="A1271" s="4">
        <v>1266</v>
      </c>
      <c r="B1271" s="3" t="str">
        <f>"00089606"</f>
        <v>00089606</v>
      </c>
    </row>
    <row r="1272" spans="1:2" x14ac:dyDescent="0.25">
      <c r="A1272" s="4">
        <v>1267</v>
      </c>
      <c r="B1272" s="3" t="str">
        <f>"00089613"</f>
        <v>00089613</v>
      </c>
    </row>
    <row r="1273" spans="1:2" x14ac:dyDescent="0.25">
      <c r="A1273" s="4">
        <v>1268</v>
      </c>
      <c r="B1273" s="3" t="str">
        <f>"00089617"</f>
        <v>00089617</v>
      </c>
    </row>
    <row r="1274" spans="1:2" x14ac:dyDescent="0.25">
      <c r="A1274" s="4">
        <v>1269</v>
      </c>
      <c r="B1274" s="3" t="str">
        <f>"00089659"</f>
        <v>00089659</v>
      </c>
    </row>
    <row r="1275" spans="1:2" x14ac:dyDescent="0.25">
      <c r="A1275" s="4">
        <v>1270</v>
      </c>
      <c r="B1275" s="3" t="str">
        <f>"00089760"</f>
        <v>00089760</v>
      </c>
    </row>
    <row r="1276" spans="1:2" x14ac:dyDescent="0.25">
      <c r="A1276" s="4">
        <v>1271</v>
      </c>
      <c r="B1276" s="3" t="str">
        <f>"00089762"</f>
        <v>00089762</v>
      </c>
    </row>
    <row r="1277" spans="1:2" x14ac:dyDescent="0.25">
      <c r="A1277" s="4">
        <v>1272</v>
      </c>
      <c r="B1277" s="3" t="str">
        <f>"00089766"</f>
        <v>00089766</v>
      </c>
    </row>
    <row r="1278" spans="1:2" x14ac:dyDescent="0.25">
      <c r="A1278" s="4">
        <v>1273</v>
      </c>
      <c r="B1278" s="3" t="str">
        <f>"00089792"</f>
        <v>00089792</v>
      </c>
    </row>
    <row r="1279" spans="1:2" x14ac:dyDescent="0.25">
      <c r="A1279" s="4">
        <v>1274</v>
      </c>
      <c r="B1279" s="3" t="str">
        <f>"00089826"</f>
        <v>00089826</v>
      </c>
    </row>
    <row r="1280" spans="1:2" x14ac:dyDescent="0.25">
      <c r="A1280" s="4">
        <v>1275</v>
      </c>
      <c r="B1280" s="3" t="str">
        <f>"00089876"</f>
        <v>00089876</v>
      </c>
    </row>
    <row r="1281" spans="1:2" x14ac:dyDescent="0.25">
      <c r="A1281" s="4">
        <v>1276</v>
      </c>
      <c r="B1281" s="3" t="str">
        <f>"00089979"</f>
        <v>00089979</v>
      </c>
    </row>
    <row r="1282" spans="1:2" x14ac:dyDescent="0.25">
      <c r="A1282" s="4">
        <v>1277</v>
      </c>
      <c r="B1282" s="3" t="str">
        <f>"00090012"</f>
        <v>00090012</v>
      </c>
    </row>
    <row r="1283" spans="1:2" x14ac:dyDescent="0.25">
      <c r="A1283" s="4">
        <v>1278</v>
      </c>
      <c r="B1283" s="3" t="str">
        <f>"00090039"</f>
        <v>00090039</v>
      </c>
    </row>
    <row r="1284" spans="1:2" x14ac:dyDescent="0.25">
      <c r="A1284" s="4">
        <v>1279</v>
      </c>
      <c r="B1284" s="3" t="str">
        <f>"00090292"</f>
        <v>00090292</v>
      </c>
    </row>
    <row r="1285" spans="1:2" x14ac:dyDescent="0.25">
      <c r="A1285" s="4">
        <v>1280</v>
      </c>
      <c r="B1285" s="3" t="str">
        <f>"00090295"</f>
        <v>00090295</v>
      </c>
    </row>
    <row r="1286" spans="1:2" x14ac:dyDescent="0.25">
      <c r="A1286" s="4">
        <v>1281</v>
      </c>
      <c r="B1286" s="3" t="str">
        <f>"00090340"</f>
        <v>00090340</v>
      </c>
    </row>
    <row r="1287" spans="1:2" x14ac:dyDescent="0.25">
      <c r="A1287" s="4">
        <v>1282</v>
      </c>
      <c r="B1287" s="3" t="str">
        <f>"00090349"</f>
        <v>00090349</v>
      </c>
    </row>
    <row r="1288" spans="1:2" x14ac:dyDescent="0.25">
      <c r="A1288" s="4">
        <v>1283</v>
      </c>
      <c r="B1288" s="3" t="str">
        <f>"00090405"</f>
        <v>00090405</v>
      </c>
    </row>
    <row r="1289" spans="1:2" x14ac:dyDescent="0.25">
      <c r="A1289" s="4">
        <v>1284</v>
      </c>
      <c r="B1289" s="3" t="str">
        <f>"00090443"</f>
        <v>00090443</v>
      </c>
    </row>
    <row r="1290" spans="1:2" x14ac:dyDescent="0.25">
      <c r="A1290" s="4">
        <v>1285</v>
      </c>
      <c r="B1290" s="3" t="str">
        <f>"00090449"</f>
        <v>00090449</v>
      </c>
    </row>
    <row r="1291" spans="1:2" x14ac:dyDescent="0.25">
      <c r="A1291" s="4">
        <v>1286</v>
      </c>
      <c r="B1291" s="3" t="str">
        <f>"00090498"</f>
        <v>00090498</v>
      </c>
    </row>
    <row r="1292" spans="1:2" x14ac:dyDescent="0.25">
      <c r="A1292" s="4">
        <v>1287</v>
      </c>
      <c r="B1292" s="3" t="str">
        <f>"00090506"</f>
        <v>00090506</v>
      </c>
    </row>
    <row r="1293" spans="1:2" x14ac:dyDescent="0.25">
      <c r="A1293" s="4">
        <v>1288</v>
      </c>
      <c r="B1293" s="3" t="str">
        <f>"00090570"</f>
        <v>00090570</v>
      </c>
    </row>
    <row r="1294" spans="1:2" x14ac:dyDescent="0.25">
      <c r="A1294" s="4">
        <v>1289</v>
      </c>
      <c r="B1294" s="3" t="str">
        <f>"00090576"</f>
        <v>00090576</v>
      </c>
    </row>
    <row r="1295" spans="1:2" x14ac:dyDescent="0.25">
      <c r="A1295" s="4">
        <v>1290</v>
      </c>
      <c r="B1295" s="3" t="str">
        <f>"00090601"</f>
        <v>00090601</v>
      </c>
    </row>
    <row r="1296" spans="1:2" x14ac:dyDescent="0.25">
      <c r="A1296" s="4">
        <v>1291</v>
      </c>
      <c r="B1296" s="3" t="str">
        <f>"00090707"</f>
        <v>00090707</v>
      </c>
    </row>
    <row r="1297" spans="1:2" x14ac:dyDescent="0.25">
      <c r="A1297" s="4">
        <v>1292</v>
      </c>
      <c r="B1297" s="3" t="str">
        <f>"00090729"</f>
        <v>00090729</v>
      </c>
    </row>
    <row r="1298" spans="1:2" x14ac:dyDescent="0.25">
      <c r="A1298" s="4">
        <v>1293</v>
      </c>
      <c r="B1298" s="3" t="str">
        <f>"00090866"</f>
        <v>00090866</v>
      </c>
    </row>
    <row r="1299" spans="1:2" x14ac:dyDescent="0.25">
      <c r="A1299" s="4">
        <v>1294</v>
      </c>
      <c r="B1299" s="3" t="str">
        <f>"00090890"</f>
        <v>00090890</v>
      </c>
    </row>
    <row r="1300" spans="1:2" x14ac:dyDescent="0.25">
      <c r="A1300" s="4">
        <v>1295</v>
      </c>
      <c r="B1300" s="3" t="str">
        <f>"00090899"</f>
        <v>00090899</v>
      </c>
    </row>
    <row r="1301" spans="1:2" x14ac:dyDescent="0.25">
      <c r="A1301" s="4">
        <v>1296</v>
      </c>
      <c r="B1301" s="3" t="str">
        <f>"00090927"</f>
        <v>00090927</v>
      </c>
    </row>
    <row r="1302" spans="1:2" x14ac:dyDescent="0.25">
      <c r="A1302" s="4">
        <v>1297</v>
      </c>
      <c r="B1302" s="3" t="str">
        <f>"00090940"</f>
        <v>00090940</v>
      </c>
    </row>
    <row r="1303" spans="1:2" x14ac:dyDescent="0.25">
      <c r="A1303" s="4">
        <v>1298</v>
      </c>
      <c r="B1303" s="3" t="str">
        <f>"00090946"</f>
        <v>00090946</v>
      </c>
    </row>
    <row r="1304" spans="1:2" x14ac:dyDescent="0.25">
      <c r="A1304" s="4">
        <v>1299</v>
      </c>
      <c r="B1304" s="3" t="str">
        <f>"00091017"</f>
        <v>00091017</v>
      </c>
    </row>
    <row r="1305" spans="1:2" x14ac:dyDescent="0.25">
      <c r="A1305" s="4">
        <v>1300</v>
      </c>
      <c r="B1305" s="3" t="str">
        <f>"00091021"</f>
        <v>00091021</v>
      </c>
    </row>
    <row r="1306" spans="1:2" x14ac:dyDescent="0.25">
      <c r="A1306" s="4">
        <v>1301</v>
      </c>
      <c r="B1306" s="3" t="str">
        <f>"00091067"</f>
        <v>00091067</v>
      </c>
    </row>
    <row r="1307" spans="1:2" x14ac:dyDescent="0.25">
      <c r="A1307" s="4">
        <v>1302</v>
      </c>
      <c r="B1307" s="3" t="str">
        <f>"00091101"</f>
        <v>00091101</v>
      </c>
    </row>
    <row r="1308" spans="1:2" x14ac:dyDescent="0.25">
      <c r="A1308" s="4">
        <v>1303</v>
      </c>
      <c r="B1308" s="3" t="str">
        <f>"00091104"</f>
        <v>00091104</v>
      </c>
    </row>
    <row r="1309" spans="1:2" x14ac:dyDescent="0.25">
      <c r="A1309" s="4">
        <v>1304</v>
      </c>
      <c r="B1309" s="3" t="str">
        <f>"00091134"</f>
        <v>00091134</v>
      </c>
    </row>
    <row r="1310" spans="1:2" x14ac:dyDescent="0.25">
      <c r="A1310" s="4">
        <v>1305</v>
      </c>
      <c r="B1310" s="3" t="str">
        <f>"00091165"</f>
        <v>00091165</v>
      </c>
    </row>
    <row r="1311" spans="1:2" x14ac:dyDescent="0.25">
      <c r="A1311" s="4">
        <v>1306</v>
      </c>
      <c r="B1311" s="3" t="str">
        <f>"00091177"</f>
        <v>00091177</v>
      </c>
    </row>
    <row r="1312" spans="1:2" x14ac:dyDescent="0.25">
      <c r="A1312" s="4">
        <v>1307</v>
      </c>
      <c r="B1312" s="3" t="str">
        <f>"00091193"</f>
        <v>00091193</v>
      </c>
    </row>
    <row r="1313" spans="1:2" x14ac:dyDescent="0.25">
      <c r="A1313" s="4">
        <v>1308</v>
      </c>
      <c r="B1313" s="3" t="str">
        <f>"00091221"</f>
        <v>00091221</v>
      </c>
    </row>
    <row r="1314" spans="1:2" x14ac:dyDescent="0.25">
      <c r="A1314" s="4">
        <v>1309</v>
      </c>
      <c r="B1314" s="3" t="str">
        <f>"00091224"</f>
        <v>00091224</v>
      </c>
    </row>
    <row r="1315" spans="1:2" x14ac:dyDescent="0.25">
      <c r="A1315" s="4">
        <v>1310</v>
      </c>
      <c r="B1315" s="3" t="str">
        <f>"00091227"</f>
        <v>00091227</v>
      </c>
    </row>
    <row r="1316" spans="1:2" x14ac:dyDescent="0.25">
      <c r="A1316" s="4">
        <v>1311</v>
      </c>
      <c r="B1316" s="3" t="str">
        <f>"00091240"</f>
        <v>00091240</v>
      </c>
    </row>
    <row r="1317" spans="1:2" x14ac:dyDescent="0.25">
      <c r="A1317" s="4">
        <v>1312</v>
      </c>
      <c r="B1317" s="3" t="str">
        <f>"00091426"</f>
        <v>00091426</v>
      </c>
    </row>
    <row r="1318" spans="1:2" x14ac:dyDescent="0.25">
      <c r="A1318" s="4">
        <v>1313</v>
      </c>
      <c r="B1318" s="3" t="str">
        <f>"00091547"</f>
        <v>00091547</v>
      </c>
    </row>
    <row r="1319" spans="1:2" x14ac:dyDescent="0.25">
      <c r="A1319" s="4">
        <v>1314</v>
      </c>
      <c r="B1319" s="3" t="str">
        <f>"00091681"</f>
        <v>00091681</v>
      </c>
    </row>
    <row r="1320" spans="1:2" x14ac:dyDescent="0.25">
      <c r="A1320" s="4">
        <v>1315</v>
      </c>
      <c r="B1320" s="3" t="str">
        <f>"00091715"</f>
        <v>00091715</v>
      </c>
    </row>
    <row r="1321" spans="1:2" x14ac:dyDescent="0.25">
      <c r="A1321" s="4">
        <v>1316</v>
      </c>
      <c r="B1321" s="3" t="str">
        <f>"00091770"</f>
        <v>00091770</v>
      </c>
    </row>
    <row r="1322" spans="1:2" x14ac:dyDescent="0.25">
      <c r="A1322" s="4">
        <v>1317</v>
      </c>
      <c r="B1322" s="3" t="str">
        <f>"00091843"</f>
        <v>00091843</v>
      </c>
    </row>
    <row r="1323" spans="1:2" x14ac:dyDescent="0.25">
      <c r="A1323" s="4">
        <v>1318</v>
      </c>
      <c r="B1323" s="3" t="str">
        <f>"00092003"</f>
        <v>00092003</v>
      </c>
    </row>
    <row r="1324" spans="1:2" x14ac:dyDescent="0.25">
      <c r="A1324" s="4">
        <v>1319</v>
      </c>
      <c r="B1324" s="3" t="str">
        <f>"00092020"</f>
        <v>00092020</v>
      </c>
    </row>
    <row r="1325" spans="1:2" x14ac:dyDescent="0.25">
      <c r="A1325" s="4">
        <v>1320</v>
      </c>
      <c r="B1325" s="3" t="str">
        <f>"00092023"</f>
        <v>00092023</v>
      </c>
    </row>
    <row r="1326" spans="1:2" x14ac:dyDescent="0.25">
      <c r="A1326" s="4">
        <v>1321</v>
      </c>
      <c r="B1326" s="3" t="str">
        <f>"00092031"</f>
        <v>00092031</v>
      </c>
    </row>
    <row r="1327" spans="1:2" x14ac:dyDescent="0.25">
      <c r="A1327" s="4">
        <v>1322</v>
      </c>
      <c r="B1327" s="3" t="str">
        <f>"00092034"</f>
        <v>00092034</v>
      </c>
    </row>
    <row r="1328" spans="1:2" x14ac:dyDescent="0.25">
      <c r="A1328" s="4">
        <v>1323</v>
      </c>
      <c r="B1328" s="3" t="str">
        <f>"00092045"</f>
        <v>00092045</v>
      </c>
    </row>
    <row r="1329" spans="1:2" x14ac:dyDescent="0.25">
      <c r="A1329" s="4">
        <v>1324</v>
      </c>
      <c r="B1329" s="3" t="str">
        <f>"00092082"</f>
        <v>00092082</v>
      </c>
    </row>
    <row r="1330" spans="1:2" x14ac:dyDescent="0.25">
      <c r="A1330" s="4">
        <v>1325</v>
      </c>
      <c r="B1330" s="3" t="str">
        <f>"00092132"</f>
        <v>00092132</v>
      </c>
    </row>
    <row r="1331" spans="1:2" x14ac:dyDescent="0.25">
      <c r="A1331" s="4">
        <v>1326</v>
      </c>
      <c r="B1331" s="3" t="str">
        <f>"00092180"</f>
        <v>00092180</v>
      </c>
    </row>
    <row r="1332" spans="1:2" x14ac:dyDescent="0.25">
      <c r="A1332" s="4">
        <v>1327</v>
      </c>
      <c r="B1332" s="3" t="str">
        <f>"00092184"</f>
        <v>00092184</v>
      </c>
    </row>
    <row r="1333" spans="1:2" x14ac:dyDescent="0.25">
      <c r="A1333" s="4">
        <v>1328</v>
      </c>
      <c r="B1333" s="3" t="str">
        <f>"00092187"</f>
        <v>00092187</v>
      </c>
    </row>
    <row r="1334" spans="1:2" x14ac:dyDescent="0.25">
      <c r="A1334" s="4">
        <v>1329</v>
      </c>
      <c r="B1334" s="3" t="str">
        <f>"00092188"</f>
        <v>00092188</v>
      </c>
    </row>
    <row r="1335" spans="1:2" x14ac:dyDescent="0.25">
      <c r="A1335" s="4">
        <v>1330</v>
      </c>
      <c r="B1335" s="3" t="str">
        <f>"00092194"</f>
        <v>00092194</v>
      </c>
    </row>
    <row r="1336" spans="1:2" x14ac:dyDescent="0.25">
      <c r="A1336" s="4">
        <v>1331</v>
      </c>
      <c r="B1336" s="3" t="str">
        <f>"00092196"</f>
        <v>00092196</v>
      </c>
    </row>
    <row r="1337" spans="1:2" x14ac:dyDescent="0.25">
      <c r="A1337" s="4">
        <v>1332</v>
      </c>
      <c r="B1337" s="3" t="str">
        <f>"00092317"</f>
        <v>00092317</v>
      </c>
    </row>
    <row r="1338" spans="1:2" x14ac:dyDescent="0.25">
      <c r="A1338" s="4">
        <v>1333</v>
      </c>
      <c r="B1338" s="3" t="str">
        <f>"00092334"</f>
        <v>00092334</v>
      </c>
    </row>
    <row r="1339" spans="1:2" x14ac:dyDescent="0.25">
      <c r="A1339" s="4">
        <v>1334</v>
      </c>
      <c r="B1339" s="3" t="str">
        <f>"00092360"</f>
        <v>00092360</v>
      </c>
    </row>
    <row r="1340" spans="1:2" x14ac:dyDescent="0.25">
      <c r="A1340" s="4">
        <v>1335</v>
      </c>
      <c r="B1340" s="3" t="str">
        <f>"00092508"</f>
        <v>00092508</v>
      </c>
    </row>
    <row r="1341" spans="1:2" x14ac:dyDescent="0.25">
      <c r="A1341" s="4">
        <v>1336</v>
      </c>
      <c r="B1341" s="3" t="str">
        <f>"00092600"</f>
        <v>00092600</v>
      </c>
    </row>
    <row r="1342" spans="1:2" x14ac:dyDescent="0.25">
      <c r="A1342" s="4">
        <v>1337</v>
      </c>
      <c r="B1342" s="3" t="str">
        <f>"00092631"</f>
        <v>00092631</v>
      </c>
    </row>
    <row r="1343" spans="1:2" x14ac:dyDescent="0.25">
      <c r="A1343" s="4">
        <v>1338</v>
      </c>
      <c r="B1343" s="3" t="str">
        <f>"00092658"</f>
        <v>00092658</v>
      </c>
    </row>
    <row r="1344" spans="1:2" x14ac:dyDescent="0.25">
      <c r="A1344" s="4">
        <v>1339</v>
      </c>
      <c r="B1344" s="3" t="str">
        <f>"00092686"</f>
        <v>00092686</v>
      </c>
    </row>
    <row r="1345" spans="1:2" x14ac:dyDescent="0.25">
      <c r="A1345" s="4">
        <v>1340</v>
      </c>
      <c r="B1345" s="3" t="str">
        <f>"00092718"</f>
        <v>00092718</v>
      </c>
    </row>
    <row r="1346" spans="1:2" x14ac:dyDescent="0.25">
      <c r="A1346" s="4">
        <v>1341</v>
      </c>
      <c r="B1346" s="3" t="str">
        <f>"00092849"</f>
        <v>00092849</v>
      </c>
    </row>
    <row r="1347" spans="1:2" x14ac:dyDescent="0.25">
      <c r="A1347" s="4">
        <v>1342</v>
      </c>
      <c r="B1347" s="3" t="str">
        <f>"00092893"</f>
        <v>00092893</v>
      </c>
    </row>
    <row r="1348" spans="1:2" x14ac:dyDescent="0.25">
      <c r="A1348" s="4">
        <v>1343</v>
      </c>
      <c r="B1348" s="3" t="str">
        <f>"00092958"</f>
        <v>00092958</v>
      </c>
    </row>
    <row r="1349" spans="1:2" x14ac:dyDescent="0.25">
      <c r="A1349" s="4">
        <v>1344</v>
      </c>
      <c r="B1349" s="3" t="str">
        <f>"00092973"</f>
        <v>00092973</v>
      </c>
    </row>
    <row r="1350" spans="1:2" x14ac:dyDescent="0.25">
      <c r="A1350" s="4">
        <v>1345</v>
      </c>
      <c r="B1350" s="3" t="str">
        <f>"00093005"</f>
        <v>00093005</v>
      </c>
    </row>
    <row r="1351" spans="1:2" x14ac:dyDescent="0.25">
      <c r="A1351" s="4">
        <v>1346</v>
      </c>
      <c r="B1351" s="3" t="str">
        <f>"00093022"</f>
        <v>00093022</v>
      </c>
    </row>
    <row r="1352" spans="1:2" x14ac:dyDescent="0.25">
      <c r="A1352" s="4">
        <v>1347</v>
      </c>
      <c r="B1352" s="3" t="str">
        <f>"00093023"</f>
        <v>00093023</v>
      </c>
    </row>
    <row r="1353" spans="1:2" x14ac:dyDescent="0.25">
      <c r="A1353" s="4">
        <v>1348</v>
      </c>
      <c r="B1353" s="3" t="str">
        <f>"00093119"</f>
        <v>00093119</v>
      </c>
    </row>
    <row r="1354" spans="1:2" x14ac:dyDescent="0.25">
      <c r="A1354" s="4">
        <v>1349</v>
      </c>
      <c r="B1354" s="3" t="str">
        <f>"00093186"</f>
        <v>00093186</v>
      </c>
    </row>
    <row r="1355" spans="1:2" x14ac:dyDescent="0.25">
      <c r="A1355" s="4">
        <v>1350</v>
      </c>
      <c r="B1355" s="3" t="str">
        <f>"00093203"</f>
        <v>00093203</v>
      </c>
    </row>
    <row r="1356" spans="1:2" x14ac:dyDescent="0.25">
      <c r="A1356" s="4">
        <v>1351</v>
      </c>
      <c r="B1356" s="3" t="str">
        <f>"00093215"</f>
        <v>00093215</v>
      </c>
    </row>
    <row r="1357" spans="1:2" x14ac:dyDescent="0.25">
      <c r="A1357" s="4">
        <v>1352</v>
      </c>
      <c r="B1357" s="3" t="str">
        <f>"00093266"</f>
        <v>00093266</v>
      </c>
    </row>
    <row r="1358" spans="1:2" x14ac:dyDescent="0.25">
      <c r="A1358" s="4">
        <v>1353</v>
      </c>
      <c r="B1358" s="3" t="str">
        <f>"00093274"</f>
        <v>00093274</v>
      </c>
    </row>
    <row r="1359" spans="1:2" x14ac:dyDescent="0.25">
      <c r="A1359" s="4">
        <v>1354</v>
      </c>
      <c r="B1359" s="3" t="str">
        <f>"00093285"</f>
        <v>00093285</v>
      </c>
    </row>
    <row r="1360" spans="1:2" x14ac:dyDescent="0.25">
      <c r="A1360" s="4">
        <v>1355</v>
      </c>
      <c r="B1360" s="3" t="str">
        <f>"00093286"</f>
        <v>00093286</v>
      </c>
    </row>
    <row r="1361" spans="1:2" x14ac:dyDescent="0.25">
      <c r="A1361" s="4">
        <v>1356</v>
      </c>
      <c r="B1361" s="3" t="str">
        <f>"00093287"</f>
        <v>00093287</v>
      </c>
    </row>
    <row r="1362" spans="1:2" x14ac:dyDescent="0.25">
      <c r="A1362" s="4">
        <v>1357</v>
      </c>
      <c r="B1362" s="3" t="str">
        <f>"00093296"</f>
        <v>00093296</v>
      </c>
    </row>
    <row r="1363" spans="1:2" x14ac:dyDescent="0.25">
      <c r="A1363" s="4">
        <v>1358</v>
      </c>
      <c r="B1363" s="3" t="str">
        <f>"00093310"</f>
        <v>00093310</v>
      </c>
    </row>
    <row r="1364" spans="1:2" x14ac:dyDescent="0.25">
      <c r="A1364" s="4">
        <v>1359</v>
      </c>
      <c r="B1364" s="3" t="str">
        <f>"00093319"</f>
        <v>00093319</v>
      </c>
    </row>
    <row r="1365" spans="1:2" x14ac:dyDescent="0.25">
      <c r="A1365" s="4">
        <v>1360</v>
      </c>
      <c r="B1365" s="3" t="str">
        <f>"00093352"</f>
        <v>00093352</v>
      </c>
    </row>
    <row r="1366" spans="1:2" x14ac:dyDescent="0.25">
      <c r="A1366" s="4">
        <v>1361</v>
      </c>
      <c r="B1366" s="3" t="str">
        <f>"00093388"</f>
        <v>00093388</v>
      </c>
    </row>
    <row r="1367" spans="1:2" x14ac:dyDescent="0.25">
      <c r="A1367" s="4">
        <v>1362</v>
      </c>
      <c r="B1367" s="3" t="str">
        <f>"00093405"</f>
        <v>00093405</v>
      </c>
    </row>
    <row r="1368" spans="1:2" x14ac:dyDescent="0.25">
      <c r="A1368" s="4">
        <v>1363</v>
      </c>
      <c r="B1368" s="3" t="str">
        <f>"00093446"</f>
        <v>00093446</v>
      </c>
    </row>
    <row r="1369" spans="1:2" x14ac:dyDescent="0.25">
      <c r="A1369" s="4">
        <v>1364</v>
      </c>
      <c r="B1369" s="3" t="str">
        <f>"00093484"</f>
        <v>00093484</v>
      </c>
    </row>
    <row r="1370" spans="1:2" x14ac:dyDescent="0.25">
      <c r="A1370" s="4">
        <v>1365</v>
      </c>
      <c r="B1370" s="3" t="str">
        <f>"00093527"</f>
        <v>00093527</v>
      </c>
    </row>
    <row r="1371" spans="1:2" x14ac:dyDescent="0.25">
      <c r="A1371" s="4">
        <v>1366</v>
      </c>
      <c r="B1371" s="3" t="str">
        <f>"00093606"</f>
        <v>00093606</v>
      </c>
    </row>
    <row r="1372" spans="1:2" x14ac:dyDescent="0.25">
      <c r="A1372" s="4">
        <v>1367</v>
      </c>
      <c r="B1372" s="3" t="str">
        <f>"00093617"</f>
        <v>00093617</v>
      </c>
    </row>
    <row r="1373" spans="1:2" x14ac:dyDescent="0.25">
      <c r="A1373" s="4">
        <v>1368</v>
      </c>
      <c r="B1373" s="3" t="str">
        <f>"00093647"</f>
        <v>00093647</v>
      </c>
    </row>
    <row r="1374" spans="1:2" x14ac:dyDescent="0.25">
      <c r="A1374" s="4">
        <v>1369</v>
      </c>
      <c r="B1374" s="3" t="str">
        <f>"00093700"</f>
        <v>00093700</v>
      </c>
    </row>
    <row r="1375" spans="1:2" x14ac:dyDescent="0.25">
      <c r="A1375" s="4">
        <v>1370</v>
      </c>
      <c r="B1375" s="3" t="str">
        <f>"00093820"</f>
        <v>00093820</v>
      </c>
    </row>
    <row r="1376" spans="1:2" x14ac:dyDescent="0.25">
      <c r="A1376" s="4">
        <v>1371</v>
      </c>
      <c r="B1376" s="3" t="str">
        <f>"00093861"</f>
        <v>00093861</v>
      </c>
    </row>
    <row r="1377" spans="1:2" x14ac:dyDescent="0.25">
      <c r="A1377" s="4">
        <v>1372</v>
      </c>
      <c r="B1377" s="3" t="str">
        <f>"00094062"</f>
        <v>00094062</v>
      </c>
    </row>
    <row r="1378" spans="1:2" x14ac:dyDescent="0.25">
      <c r="A1378" s="4">
        <v>1373</v>
      </c>
      <c r="B1378" s="3" t="str">
        <f>"00094224"</f>
        <v>00094224</v>
      </c>
    </row>
    <row r="1379" spans="1:2" x14ac:dyDescent="0.25">
      <c r="A1379" s="4">
        <v>1374</v>
      </c>
      <c r="B1379" s="3" t="str">
        <f>"00094251"</f>
        <v>00094251</v>
      </c>
    </row>
    <row r="1380" spans="1:2" x14ac:dyDescent="0.25">
      <c r="A1380" s="4">
        <v>1375</v>
      </c>
      <c r="B1380" s="3" t="str">
        <f>"00094269"</f>
        <v>00094269</v>
      </c>
    </row>
    <row r="1381" spans="1:2" x14ac:dyDescent="0.25">
      <c r="A1381" s="4">
        <v>1376</v>
      </c>
      <c r="B1381" s="3" t="str">
        <f>"00094385"</f>
        <v>00094385</v>
      </c>
    </row>
    <row r="1382" spans="1:2" x14ac:dyDescent="0.25">
      <c r="A1382" s="4">
        <v>1377</v>
      </c>
      <c r="B1382" s="3" t="str">
        <f>"00094480"</f>
        <v>00094480</v>
      </c>
    </row>
    <row r="1383" spans="1:2" x14ac:dyDescent="0.25">
      <c r="A1383" s="4">
        <v>1378</v>
      </c>
      <c r="B1383" s="3" t="str">
        <f>"00094597"</f>
        <v>00094597</v>
      </c>
    </row>
    <row r="1384" spans="1:2" x14ac:dyDescent="0.25">
      <c r="A1384" s="4">
        <v>1379</v>
      </c>
      <c r="B1384" s="3" t="str">
        <f>"00094659"</f>
        <v>00094659</v>
      </c>
    </row>
    <row r="1385" spans="1:2" x14ac:dyDescent="0.25">
      <c r="A1385" s="4">
        <v>1380</v>
      </c>
      <c r="B1385" s="3" t="str">
        <f>"00094667"</f>
        <v>00094667</v>
      </c>
    </row>
    <row r="1386" spans="1:2" x14ac:dyDescent="0.25">
      <c r="A1386" s="4">
        <v>1381</v>
      </c>
      <c r="B1386" s="3" t="str">
        <f>"00094673"</f>
        <v>00094673</v>
      </c>
    </row>
    <row r="1387" spans="1:2" x14ac:dyDescent="0.25">
      <c r="A1387" s="4">
        <v>1382</v>
      </c>
      <c r="B1387" s="3" t="str">
        <f>"00094719"</f>
        <v>00094719</v>
      </c>
    </row>
    <row r="1388" spans="1:2" x14ac:dyDescent="0.25">
      <c r="A1388" s="4">
        <v>1383</v>
      </c>
      <c r="B1388" s="3" t="str">
        <f>"00094731"</f>
        <v>00094731</v>
      </c>
    </row>
    <row r="1389" spans="1:2" x14ac:dyDescent="0.25">
      <c r="A1389" s="4">
        <v>1384</v>
      </c>
      <c r="B1389" s="3" t="str">
        <f>"00094735"</f>
        <v>00094735</v>
      </c>
    </row>
    <row r="1390" spans="1:2" x14ac:dyDescent="0.25">
      <c r="A1390" s="4">
        <v>1385</v>
      </c>
      <c r="B1390" s="3" t="str">
        <f>"00094736"</f>
        <v>00094736</v>
      </c>
    </row>
    <row r="1391" spans="1:2" x14ac:dyDescent="0.25">
      <c r="A1391" s="4">
        <v>1386</v>
      </c>
      <c r="B1391" s="3" t="str">
        <f>"00094965"</f>
        <v>00094965</v>
      </c>
    </row>
    <row r="1392" spans="1:2" x14ac:dyDescent="0.25">
      <c r="A1392" s="4">
        <v>1387</v>
      </c>
      <c r="B1392" s="3" t="str">
        <f>"00095010"</f>
        <v>00095010</v>
      </c>
    </row>
    <row r="1393" spans="1:2" x14ac:dyDescent="0.25">
      <c r="A1393" s="4">
        <v>1388</v>
      </c>
      <c r="B1393" s="3" t="str">
        <f>"00095027"</f>
        <v>00095027</v>
      </c>
    </row>
    <row r="1394" spans="1:2" x14ac:dyDescent="0.25">
      <c r="A1394" s="4">
        <v>1389</v>
      </c>
      <c r="B1394" s="3" t="str">
        <f>"00095094"</f>
        <v>00095094</v>
      </c>
    </row>
    <row r="1395" spans="1:2" x14ac:dyDescent="0.25">
      <c r="A1395" s="4">
        <v>1390</v>
      </c>
      <c r="B1395" s="3" t="str">
        <f>"00095185"</f>
        <v>00095185</v>
      </c>
    </row>
    <row r="1396" spans="1:2" x14ac:dyDescent="0.25">
      <c r="A1396" s="4">
        <v>1391</v>
      </c>
      <c r="B1396" s="3" t="str">
        <f>"00095270"</f>
        <v>00095270</v>
      </c>
    </row>
    <row r="1397" spans="1:2" x14ac:dyDescent="0.25">
      <c r="A1397" s="4">
        <v>1392</v>
      </c>
      <c r="B1397" s="3" t="str">
        <f>"00095275"</f>
        <v>00095275</v>
      </c>
    </row>
    <row r="1398" spans="1:2" x14ac:dyDescent="0.25">
      <c r="A1398" s="4">
        <v>1393</v>
      </c>
      <c r="B1398" s="3" t="str">
        <f>"00095282"</f>
        <v>00095282</v>
      </c>
    </row>
    <row r="1399" spans="1:2" x14ac:dyDescent="0.25">
      <c r="A1399" s="4">
        <v>1394</v>
      </c>
      <c r="B1399" s="3" t="str">
        <f>"00095288"</f>
        <v>00095288</v>
      </c>
    </row>
    <row r="1400" spans="1:2" x14ac:dyDescent="0.25">
      <c r="A1400" s="4">
        <v>1395</v>
      </c>
      <c r="B1400" s="3" t="str">
        <f>"00095391"</f>
        <v>00095391</v>
      </c>
    </row>
    <row r="1401" spans="1:2" x14ac:dyDescent="0.25">
      <c r="A1401" s="4">
        <v>1396</v>
      </c>
      <c r="B1401" s="3" t="str">
        <f>"00095392"</f>
        <v>00095392</v>
      </c>
    </row>
    <row r="1402" spans="1:2" x14ac:dyDescent="0.25">
      <c r="A1402" s="4">
        <v>1397</v>
      </c>
      <c r="B1402" s="3" t="str">
        <f>"00095397"</f>
        <v>00095397</v>
      </c>
    </row>
    <row r="1403" spans="1:2" x14ac:dyDescent="0.25">
      <c r="A1403" s="4">
        <v>1398</v>
      </c>
      <c r="B1403" s="3" t="str">
        <f>"00095457"</f>
        <v>00095457</v>
      </c>
    </row>
    <row r="1404" spans="1:2" x14ac:dyDescent="0.25">
      <c r="A1404" s="4">
        <v>1399</v>
      </c>
      <c r="B1404" s="3" t="str">
        <f>"00095464"</f>
        <v>00095464</v>
      </c>
    </row>
    <row r="1405" spans="1:2" x14ac:dyDescent="0.25">
      <c r="A1405" s="4">
        <v>1400</v>
      </c>
      <c r="B1405" s="3" t="str">
        <f>"00095467"</f>
        <v>00095467</v>
      </c>
    </row>
    <row r="1406" spans="1:2" x14ac:dyDescent="0.25">
      <c r="A1406" s="4">
        <v>1401</v>
      </c>
      <c r="B1406" s="3" t="str">
        <f>"00095469"</f>
        <v>00095469</v>
      </c>
    </row>
    <row r="1407" spans="1:2" x14ac:dyDescent="0.25">
      <c r="A1407" s="4">
        <v>1402</v>
      </c>
      <c r="B1407" s="3" t="str">
        <f>"00095478"</f>
        <v>00095478</v>
      </c>
    </row>
    <row r="1408" spans="1:2" x14ac:dyDescent="0.25">
      <c r="A1408" s="4">
        <v>1403</v>
      </c>
      <c r="B1408" s="3" t="str">
        <f>"00095496"</f>
        <v>00095496</v>
      </c>
    </row>
    <row r="1409" spans="1:2" x14ac:dyDescent="0.25">
      <c r="A1409" s="4">
        <v>1404</v>
      </c>
      <c r="B1409" s="3" t="str">
        <f>"00095566"</f>
        <v>00095566</v>
      </c>
    </row>
    <row r="1410" spans="1:2" x14ac:dyDescent="0.25">
      <c r="A1410" s="4">
        <v>1405</v>
      </c>
      <c r="B1410" s="3" t="str">
        <f>"00095697"</f>
        <v>00095697</v>
      </c>
    </row>
    <row r="1411" spans="1:2" x14ac:dyDescent="0.25">
      <c r="A1411" s="4">
        <v>1406</v>
      </c>
      <c r="B1411" s="3" t="str">
        <f>"00095782"</f>
        <v>00095782</v>
      </c>
    </row>
    <row r="1412" spans="1:2" x14ac:dyDescent="0.25">
      <c r="A1412" s="4">
        <v>1407</v>
      </c>
      <c r="B1412" s="3" t="str">
        <f>"00095787"</f>
        <v>00095787</v>
      </c>
    </row>
    <row r="1413" spans="1:2" x14ac:dyDescent="0.25">
      <c r="A1413" s="4">
        <v>1408</v>
      </c>
      <c r="B1413" s="3" t="str">
        <f>"00095815"</f>
        <v>00095815</v>
      </c>
    </row>
    <row r="1414" spans="1:2" x14ac:dyDescent="0.25">
      <c r="A1414" s="4">
        <v>1409</v>
      </c>
      <c r="B1414" s="3" t="str">
        <f>"00095874"</f>
        <v>00095874</v>
      </c>
    </row>
    <row r="1415" spans="1:2" x14ac:dyDescent="0.25">
      <c r="A1415" s="4">
        <v>1410</v>
      </c>
      <c r="B1415" s="3" t="str">
        <f>"00095967"</f>
        <v>00095967</v>
      </c>
    </row>
    <row r="1416" spans="1:2" x14ac:dyDescent="0.25">
      <c r="A1416" s="4">
        <v>1411</v>
      </c>
      <c r="B1416" s="3" t="str">
        <f>"00096020"</f>
        <v>00096020</v>
      </c>
    </row>
    <row r="1417" spans="1:2" x14ac:dyDescent="0.25">
      <c r="A1417" s="4">
        <v>1412</v>
      </c>
      <c r="B1417" s="3" t="str">
        <f>"00096168"</f>
        <v>00096168</v>
      </c>
    </row>
    <row r="1418" spans="1:2" x14ac:dyDescent="0.25">
      <c r="A1418" s="4">
        <v>1413</v>
      </c>
      <c r="B1418" s="3" t="str">
        <f>"00096257"</f>
        <v>00096257</v>
      </c>
    </row>
    <row r="1419" spans="1:2" x14ac:dyDescent="0.25">
      <c r="A1419" s="4">
        <v>1414</v>
      </c>
      <c r="B1419" s="3" t="str">
        <f>"00096266"</f>
        <v>00096266</v>
      </c>
    </row>
    <row r="1420" spans="1:2" x14ac:dyDescent="0.25">
      <c r="A1420" s="4">
        <v>1415</v>
      </c>
      <c r="B1420" s="3" t="str">
        <f>"00096323"</f>
        <v>00096323</v>
      </c>
    </row>
    <row r="1421" spans="1:2" x14ac:dyDescent="0.25">
      <c r="A1421" s="4">
        <v>1416</v>
      </c>
      <c r="B1421" s="3" t="str">
        <f>"00096331"</f>
        <v>00096331</v>
      </c>
    </row>
    <row r="1422" spans="1:2" x14ac:dyDescent="0.25">
      <c r="A1422" s="4">
        <v>1417</v>
      </c>
      <c r="B1422" s="3" t="str">
        <f>"00096338"</f>
        <v>00096338</v>
      </c>
    </row>
    <row r="1423" spans="1:2" x14ac:dyDescent="0.25">
      <c r="A1423" s="4">
        <v>1418</v>
      </c>
      <c r="B1423" s="3" t="str">
        <f>"00096365"</f>
        <v>00096365</v>
      </c>
    </row>
    <row r="1424" spans="1:2" x14ac:dyDescent="0.25">
      <c r="A1424" s="4">
        <v>1419</v>
      </c>
      <c r="B1424" s="3" t="str">
        <f>"00096368"</f>
        <v>00096368</v>
      </c>
    </row>
    <row r="1425" spans="1:2" x14ac:dyDescent="0.25">
      <c r="A1425" s="4">
        <v>1420</v>
      </c>
      <c r="B1425" s="3" t="str">
        <f>"00096402"</f>
        <v>00096402</v>
      </c>
    </row>
    <row r="1426" spans="1:2" x14ac:dyDescent="0.25">
      <c r="A1426" s="4">
        <v>1421</v>
      </c>
      <c r="B1426" s="3" t="str">
        <f>"00096440"</f>
        <v>00096440</v>
      </c>
    </row>
    <row r="1427" spans="1:2" x14ac:dyDescent="0.25">
      <c r="A1427" s="4">
        <v>1422</v>
      </c>
      <c r="B1427" s="3" t="str">
        <f>"00096442"</f>
        <v>00096442</v>
      </c>
    </row>
    <row r="1428" spans="1:2" x14ac:dyDescent="0.25">
      <c r="A1428" s="4">
        <v>1423</v>
      </c>
      <c r="B1428" s="3" t="str">
        <f>"00096460"</f>
        <v>00096460</v>
      </c>
    </row>
    <row r="1429" spans="1:2" x14ac:dyDescent="0.25">
      <c r="A1429" s="4">
        <v>1424</v>
      </c>
      <c r="B1429" s="3" t="str">
        <f>"00096469"</f>
        <v>00096469</v>
      </c>
    </row>
    <row r="1430" spans="1:2" x14ac:dyDescent="0.25">
      <c r="A1430" s="4">
        <v>1425</v>
      </c>
      <c r="B1430" s="3" t="str">
        <f>"00096520"</f>
        <v>00096520</v>
      </c>
    </row>
    <row r="1431" spans="1:2" x14ac:dyDescent="0.25">
      <c r="A1431" s="4">
        <v>1426</v>
      </c>
      <c r="B1431" s="3" t="str">
        <f>"00096615"</f>
        <v>00096615</v>
      </c>
    </row>
    <row r="1432" spans="1:2" x14ac:dyDescent="0.25">
      <c r="A1432" s="4">
        <v>1427</v>
      </c>
      <c r="B1432" s="3" t="str">
        <f>"00096629"</f>
        <v>00096629</v>
      </c>
    </row>
    <row r="1433" spans="1:2" x14ac:dyDescent="0.25">
      <c r="A1433" s="4">
        <v>1428</v>
      </c>
      <c r="B1433" s="3" t="str">
        <f>"00096717"</f>
        <v>00096717</v>
      </c>
    </row>
    <row r="1434" spans="1:2" x14ac:dyDescent="0.25">
      <c r="A1434" s="4">
        <v>1429</v>
      </c>
      <c r="B1434" s="3" t="str">
        <f>"00097026"</f>
        <v>00097026</v>
      </c>
    </row>
    <row r="1435" spans="1:2" x14ac:dyDescent="0.25">
      <c r="A1435" s="4">
        <v>1430</v>
      </c>
      <c r="B1435" s="3" t="str">
        <f>"00097113"</f>
        <v>00097113</v>
      </c>
    </row>
    <row r="1436" spans="1:2" x14ac:dyDescent="0.25">
      <c r="A1436" s="4">
        <v>1431</v>
      </c>
      <c r="B1436" s="3" t="str">
        <f>"00097458"</f>
        <v>00097458</v>
      </c>
    </row>
    <row r="1437" spans="1:2" x14ac:dyDescent="0.25">
      <c r="A1437" s="4">
        <v>1432</v>
      </c>
      <c r="B1437" s="3" t="str">
        <f>"00097494"</f>
        <v>00097494</v>
      </c>
    </row>
    <row r="1438" spans="1:2" x14ac:dyDescent="0.25">
      <c r="A1438" s="4">
        <v>1433</v>
      </c>
      <c r="B1438" s="3" t="str">
        <f>"00097867"</f>
        <v>00097867</v>
      </c>
    </row>
    <row r="1439" spans="1:2" x14ac:dyDescent="0.25">
      <c r="A1439" s="4">
        <v>1434</v>
      </c>
      <c r="B1439" s="3" t="str">
        <f>"00098185"</f>
        <v>00098185</v>
      </c>
    </row>
    <row r="1440" spans="1:2" x14ac:dyDescent="0.25">
      <c r="A1440" s="4">
        <v>1435</v>
      </c>
      <c r="B1440" s="3" t="str">
        <f>"00098381"</f>
        <v>00098381</v>
      </c>
    </row>
    <row r="1441" spans="1:2" x14ac:dyDescent="0.25">
      <c r="A1441" s="4">
        <v>1436</v>
      </c>
      <c r="B1441" s="3" t="str">
        <f>"00099203"</f>
        <v>00099203</v>
      </c>
    </row>
    <row r="1442" spans="1:2" x14ac:dyDescent="0.25">
      <c r="A1442" s="4">
        <v>1437</v>
      </c>
      <c r="B1442" s="3" t="str">
        <f>"00100163"</f>
        <v>00100163</v>
      </c>
    </row>
    <row r="1443" spans="1:2" x14ac:dyDescent="0.25">
      <c r="A1443" s="4">
        <v>1438</v>
      </c>
      <c r="B1443" s="3" t="str">
        <f>"00100175"</f>
        <v>00100175</v>
      </c>
    </row>
    <row r="1444" spans="1:2" x14ac:dyDescent="0.25">
      <c r="A1444" s="4">
        <v>1439</v>
      </c>
      <c r="B1444" s="3" t="str">
        <f>"00100177"</f>
        <v>00100177</v>
      </c>
    </row>
    <row r="1445" spans="1:2" x14ac:dyDescent="0.25">
      <c r="A1445" s="4">
        <v>1440</v>
      </c>
      <c r="B1445" s="3" t="str">
        <f>"00100429"</f>
        <v>00100429</v>
      </c>
    </row>
    <row r="1446" spans="1:2" x14ac:dyDescent="0.25">
      <c r="A1446" s="4">
        <v>1441</v>
      </c>
      <c r="B1446" s="3" t="str">
        <f>"00100786"</f>
        <v>00100786</v>
      </c>
    </row>
    <row r="1447" spans="1:2" x14ac:dyDescent="0.25">
      <c r="A1447" s="4">
        <v>1442</v>
      </c>
      <c r="B1447" s="3" t="str">
        <f>"00100800"</f>
        <v>00100800</v>
      </c>
    </row>
    <row r="1448" spans="1:2" x14ac:dyDescent="0.25">
      <c r="A1448" s="4">
        <v>1443</v>
      </c>
      <c r="B1448" s="3" t="str">
        <f>"00100820"</f>
        <v>00100820</v>
      </c>
    </row>
    <row r="1449" spans="1:2" x14ac:dyDescent="0.25">
      <c r="A1449" s="4">
        <v>1444</v>
      </c>
      <c r="B1449" s="3" t="str">
        <f>"00100831"</f>
        <v>00100831</v>
      </c>
    </row>
    <row r="1450" spans="1:2" x14ac:dyDescent="0.25">
      <c r="A1450" s="4">
        <v>1445</v>
      </c>
      <c r="B1450" s="3" t="str">
        <f>"00100905"</f>
        <v>00100905</v>
      </c>
    </row>
    <row r="1451" spans="1:2" x14ac:dyDescent="0.25">
      <c r="A1451" s="4">
        <v>1446</v>
      </c>
      <c r="B1451" s="3" t="str">
        <f>"00100964"</f>
        <v>00100964</v>
      </c>
    </row>
    <row r="1452" spans="1:2" x14ac:dyDescent="0.25">
      <c r="A1452" s="4">
        <v>1447</v>
      </c>
      <c r="B1452" s="3" t="str">
        <f>"00101230"</f>
        <v>00101230</v>
      </c>
    </row>
    <row r="1453" spans="1:2" x14ac:dyDescent="0.25">
      <c r="A1453" s="4">
        <v>1448</v>
      </c>
      <c r="B1453" s="3" t="str">
        <f>"00101274"</f>
        <v>00101274</v>
      </c>
    </row>
    <row r="1454" spans="1:2" x14ac:dyDescent="0.25">
      <c r="A1454" s="4">
        <v>1449</v>
      </c>
      <c r="B1454" s="3" t="str">
        <f>"00101409"</f>
        <v>00101409</v>
      </c>
    </row>
    <row r="1455" spans="1:2" x14ac:dyDescent="0.25">
      <c r="A1455" s="4">
        <v>1450</v>
      </c>
      <c r="B1455" s="3" t="str">
        <f>"00101448"</f>
        <v>00101448</v>
      </c>
    </row>
    <row r="1456" spans="1:2" x14ac:dyDescent="0.25">
      <c r="A1456" s="4">
        <v>1451</v>
      </c>
      <c r="B1456" s="3" t="str">
        <f>"00101468"</f>
        <v>00101468</v>
      </c>
    </row>
    <row r="1457" spans="1:2" x14ac:dyDescent="0.25">
      <c r="A1457" s="4">
        <v>1452</v>
      </c>
      <c r="B1457" s="3" t="str">
        <f>"00101482"</f>
        <v>00101482</v>
      </c>
    </row>
    <row r="1458" spans="1:2" x14ac:dyDescent="0.25">
      <c r="A1458" s="4">
        <v>1453</v>
      </c>
      <c r="B1458" s="3" t="str">
        <f>"00101594"</f>
        <v>00101594</v>
      </c>
    </row>
    <row r="1459" spans="1:2" x14ac:dyDescent="0.25">
      <c r="A1459" s="4">
        <v>1454</v>
      </c>
      <c r="B1459" s="3" t="str">
        <f>"00101605"</f>
        <v>00101605</v>
      </c>
    </row>
    <row r="1460" spans="1:2" x14ac:dyDescent="0.25">
      <c r="A1460" s="4">
        <v>1455</v>
      </c>
      <c r="B1460" s="3" t="str">
        <f>"00101636"</f>
        <v>00101636</v>
      </c>
    </row>
    <row r="1461" spans="1:2" x14ac:dyDescent="0.25">
      <c r="A1461" s="4">
        <v>1456</v>
      </c>
      <c r="B1461" s="3" t="str">
        <f>"00101654"</f>
        <v>00101654</v>
      </c>
    </row>
    <row r="1462" spans="1:2" x14ac:dyDescent="0.25">
      <c r="A1462" s="4">
        <v>1457</v>
      </c>
      <c r="B1462" s="3" t="str">
        <f>"00101656"</f>
        <v>00101656</v>
      </c>
    </row>
    <row r="1463" spans="1:2" x14ac:dyDescent="0.25">
      <c r="A1463" s="4">
        <v>1458</v>
      </c>
      <c r="B1463" s="3" t="str">
        <f>"00101691"</f>
        <v>00101691</v>
      </c>
    </row>
    <row r="1464" spans="1:2" x14ac:dyDescent="0.25">
      <c r="A1464" s="4">
        <v>1459</v>
      </c>
      <c r="B1464" s="3" t="str">
        <f>"00101725"</f>
        <v>00101725</v>
      </c>
    </row>
    <row r="1465" spans="1:2" x14ac:dyDescent="0.25">
      <c r="A1465" s="4">
        <v>1460</v>
      </c>
      <c r="B1465" s="3" t="str">
        <f>"00101765"</f>
        <v>00101765</v>
      </c>
    </row>
    <row r="1466" spans="1:2" x14ac:dyDescent="0.25">
      <c r="A1466" s="4">
        <v>1461</v>
      </c>
      <c r="B1466" s="3" t="str">
        <f>"00101801"</f>
        <v>00101801</v>
      </c>
    </row>
    <row r="1467" spans="1:2" x14ac:dyDescent="0.25">
      <c r="A1467" s="4">
        <v>1462</v>
      </c>
      <c r="B1467" s="3" t="str">
        <f>"00101815"</f>
        <v>00101815</v>
      </c>
    </row>
    <row r="1468" spans="1:2" x14ac:dyDescent="0.25">
      <c r="A1468" s="4">
        <v>1463</v>
      </c>
      <c r="B1468" s="3" t="str">
        <f>"00101852"</f>
        <v>00101852</v>
      </c>
    </row>
    <row r="1469" spans="1:2" x14ac:dyDescent="0.25">
      <c r="A1469" s="4">
        <v>1464</v>
      </c>
      <c r="B1469" s="3" t="str">
        <f>"00101872"</f>
        <v>00101872</v>
      </c>
    </row>
    <row r="1470" spans="1:2" x14ac:dyDescent="0.25">
      <c r="A1470" s="4">
        <v>1465</v>
      </c>
      <c r="B1470" s="3" t="str">
        <f>"00101967"</f>
        <v>00101967</v>
      </c>
    </row>
    <row r="1471" spans="1:2" x14ac:dyDescent="0.25">
      <c r="A1471" s="4">
        <v>1466</v>
      </c>
      <c r="B1471" s="3" t="str">
        <f>"00101977"</f>
        <v>00101977</v>
      </c>
    </row>
    <row r="1472" spans="1:2" x14ac:dyDescent="0.25">
      <c r="A1472" s="4">
        <v>1467</v>
      </c>
      <c r="B1472" s="3" t="str">
        <f>"00102013"</f>
        <v>00102013</v>
      </c>
    </row>
    <row r="1473" spans="1:2" x14ac:dyDescent="0.25">
      <c r="A1473" s="4">
        <v>1468</v>
      </c>
      <c r="B1473" s="3" t="str">
        <f>"00102059"</f>
        <v>00102059</v>
      </c>
    </row>
    <row r="1474" spans="1:2" x14ac:dyDescent="0.25">
      <c r="A1474" s="4">
        <v>1469</v>
      </c>
      <c r="B1474" s="3" t="str">
        <f>"00102060"</f>
        <v>00102060</v>
      </c>
    </row>
    <row r="1475" spans="1:2" x14ac:dyDescent="0.25">
      <c r="A1475" s="4">
        <v>1470</v>
      </c>
      <c r="B1475" s="3" t="str">
        <f>"00102092"</f>
        <v>00102092</v>
      </c>
    </row>
    <row r="1476" spans="1:2" x14ac:dyDescent="0.25">
      <c r="A1476" s="4">
        <v>1471</v>
      </c>
      <c r="B1476" s="3" t="str">
        <f>"00102116"</f>
        <v>00102116</v>
      </c>
    </row>
    <row r="1477" spans="1:2" x14ac:dyDescent="0.25">
      <c r="A1477" s="4">
        <v>1472</v>
      </c>
      <c r="B1477" s="3" t="str">
        <f>"00102190"</f>
        <v>00102190</v>
      </c>
    </row>
    <row r="1478" spans="1:2" x14ac:dyDescent="0.25">
      <c r="A1478" s="4">
        <v>1473</v>
      </c>
      <c r="B1478" s="3" t="str">
        <f>"00102194"</f>
        <v>00102194</v>
      </c>
    </row>
    <row r="1479" spans="1:2" x14ac:dyDescent="0.25">
      <c r="A1479" s="4">
        <v>1474</v>
      </c>
      <c r="B1479" s="3" t="str">
        <f>"00102212"</f>
        <v>00102212</v>
      </c>
    </row>
    <row r="1480" spans="1:2" x14ac:dyDescent="0.25">
      <c r="A1480" s="4">
        <v>1475</v>
      </c>
      <c r="B1480" s="3" t="str">
        <f>"00102226"</f>
        <v>00102226</v>
      </c>
    </row>
    <row r="1481" spans="1:2" x14ac:dyDescent="0.25">
      <c r="A1481" s="4">
        <v>1476</v>
      </c>
      <c r="B1481" s="3" t="str">
        <f>"00102306"</f>
        <v>00102306</v>
      </c>
    </row>
    <row r="1482" spans="1:2" x14ac:dyDescent="0.25">
      <c r="A1482" s="4">
        <v>1477</v>
      </c>
      <c r="B1482" s="3" t="str">
        <f>"00102329"</f>
        <v>00102329</v>
      </c>
    </row>
    <row r="1483" spans="1:2" x14ac:dyDescent="0.25">
      <c r="A1483" s="4">
        <v>1478</v>
      </c>
      <c r="B1483" s="3" t="str">
        <f>"00102347"</f>
        <v>00102347</v>
      </c>
    </row>
    <row r="1484" spans="1:2" x14ac:dyDescent="0.25">
      <c r="A1484" s="4">
        <v>1479</v>
      </c>
      <c r="B1484" s="3" t="str">
        <f>"00102396"</f>
        <v>00102396</v>
      </c>
    </row>
    <row r="1485" spans="1:2" x14ac:dyDescent="0.25">
      <c r="A1485" s="4">
        <v>1480</v>
      </c>
      <c r="B1485" s="3" t="str">
        <f>"00102518"</f>
        <v>00102518</v>
      </c>
    </row>
    <row r="1486" spans="1:2" x14ac:dyDescent="0.25">
      <c r="A1486" s="4">
        <v>1481</v>
      </c>
      <c r="B1486" s="3" t="str">
        <f>"00102534"</f>
        <v>00102534</v>
      </c>
    </row>
    <row r="1487" spans="1:2" x14ac:dyDescent="0.25">
      <c r="A1487" s="4">
        <v>1482</v>
      </c>
      <c r="B1487" s="3" t="str">
        <f>"00102603"</f>
        <v>00102603</v>
      </c>
    </row>
    <row r="1488" spans="1:2" x14ac:dyDescent="0.25">
      <c r="A1488" s="4">
        <v>1483</v>
      </c>
      <c r="B1488" s="3" t="str">
        <f>"00102616"</f>
        <v>00102616</v>
      </c>
    </row>
    <row r="1489" spans="1:2" x14ac:dyDescent="0.25">
      <c r="A1489" s="4">
        <v>1484</v>
      </c>
      <c r="B1489" s="3" t="str">
        <f>"00102625"</f>
        <v>00102625</v>
      </c>
    </row>
    <row r="1490" spans="1:2" x14ac:dyDescent="0.25">
      <c r="A1490" s="4">
        <v>1485</v>
      </c>
      <c r="B1490" s="3" t="str">
        <f>"00102667"</f>
        <v>00102667</v>
      </c>
    </row>
    <row r="1491" spans="1:2" x14ac:dyDescent="0.25">
      <c r="A1491" s="4">
        <v>1486</v>
      </c>
      <c r="B1491" s="3" t="str">
        <f>"00102687"</f>
        <v>00102687</v>
      </c>
    </row>
    <row r="1492" spans="1:2" x14ac:dyDescent="0.25">
      <c r="A1492" s="4">
        <v>1487</v>
      </c>
      <c r="B1492" s="3" t="str">
        <f>"00102701"</f>
        <v>00102701</v>
      </c>
    </row>
    <row r="1493" spans="1:2" x14ac:dyDescent="0.25">
      <c r="A1493" s="4">
        <v>1488</v>
      </c>
      <c r="B1493" s="3" t="str">
        <f>"00102732"</f>
        <v>00102732</v>
      </c>
    </row>
    <row r="1494" spans="1:2" x14ac:dyDescent="0.25">
      <c r="A1494" s="4">
        <v>1489</v>
      </c>
      <c r="B1494" s="3" t="str">
        <f>"00102743"</f>
        <v>00102743</v>
      </c>
    </row>
    <row r="1495" spans="1:2" x14ac:dyDescent="0.25">
      <c r="A1495" s="4">
        <v>1490</v>
      </c>
      <c r="B1495" s="3" t="str">
        <f>"00102746"</f>
        <v>00102746</v>
      </c>
    </row>
    <row r="1496" spans="1:2" x14ac:dyDescent="0.25">
      <c r="A1496" s="4">
        <v>1491</v>
      </c>
      <c r="B1496" s="3" t="str">
        <f>"00102760"</f>
        <v>00102760</v>
      </c>
    </row>
    <row r="1497" spans="1:2" x14ac:dyDescent="0.25">
      <c r="A1497" s="4">
        <v>1492</v>
      </c>
      <c r="B1497" s="3" t="str">
        <f>"00102780"</f>
        <v>00102780</v>
      </c>
    </row>
    <row r="1498" spans="1:2" x14ac:dyDescent="0.25">
      <c r="A1498" s="4">
        <v>1493</v>
      </c>
      <c r="B1498" s="3" t="str">
        <f>"00102801"</f>
        <v>00102801</v>
      </c>
    </row>
    <row r="1499" spans="1:2" x14ac:dyDescent="0.25">
      <c r="A1499" s="4">
        <v>1494</v>
      </c>
      <c r="B1499" s="3" t="str">
        <f>"00102815"</f>
        <v>00102815</v>
      </c>
    </row>
    <row r="1500" spans="1:2" x14ac:dyDescent="0.25">
      <c r="A1500" s="4">
        <v>1495</v>
      </c>
      <c r="B1500" s="3" t="str">
        <f>"00102844"</f>
        <v>00102844</v>
      </c>
    </row>
    <row r="1501" spans="1:2" x14ac:dyDescent="0.25">
      <c r="A1501" s="4">
        <v>1496</v>
      </c>
      <c r="B1501" s="3" t="str">
        <f>"00102852"</f>
        <v>00102852</v>
      </c>
    </row>
    <row r="1502" spans="1:2" x14ac:dyDescent="0.25">
      <c r="A1502" s="4">
        <v>1497</v>
      </c>
      <c r="B1502" s="3" t="str">
        <f>"00102889"</f>
        <v>00102889</v>
      </c>
    </row>
    <row r="1503" spans="1:2" x14ac:dyDescent="0.25">
      <c r="A1503" s="4">
        <v>1498</v>
      </c>
      <c r="B1503" s="3" t="str">
        <f>"00102906"</f>
        <v>00102906</v>
      </c>
    </row>
    <row r="1504" spans="1:2" x14ac:dyDescent="0.25">
      <c r="A1504" s="4">
        <v>1499</v>
      </c>
      <c r="B1504" s="3" t="str">
        <f>"00102907"</f>
        <v>00102907</v>
      </c>
    </row>
    <row r="1505" spans="1:2" x14ac:dyDescent="0.25">
      <c r="A1505" s="4">
        <v>1500</v>
      </c>
      <c r="B1505" s="3" t="str">
        <f>"00102977"</f>
        <v>00102977</v>
      </c>
    </row>
    <row r="1506" spans="1:2" x14ac:dyDescent="0.25">
      <c r="A1506" s="4">
        <v>1501</v>
      </c>
      <c r="B1506" s="3" t="str">
        <f>"00102986"</f>
        <v>00102986</v>
      </c>
    </row>
    <row r="1507" spans="1:2" x14ac:dyDescent="0.25">
      <c r="A1507" s="4">
        <v>1502</v>
      </c>
      <c r="B1507" s="3" t="str">
        <f>"00103007"</f>
        <v>00103007</v>
      </c>
    </row>
    <row r="1508" spans="1:2" x14ac:dyDescent="0.25">
      <c r="A1508" s="4">
        <v>1503</v>
      </c>
      <c r="B1508" s="3" t="str">
        <f>"00103033"</f>
        <v>00103033</v>
      </c>
    </row>
    <row r="1509" spans="1:2" x14ac:dyDescent="0.25">
      <c r="A1509" s="4">
        <v>1504</v>
      </c>
      <c r="B1509" s="3" t="str">
        <f>"00103073"</f>
        <v>00103073</v>
      </c>
    </row>
    <row r="1510" spans="1:2" x14ac:dyDescent="0.25">
      <c r="A1510" s="4">
        <v>1505</v>
      </c>
      <c r="B1510" s="3" t="str">
        <f>"00103090"</f>
        <v>00103090</v>
      </c>
    </row>
    <row r="1511" spans="1:2" x14ac:dyDescent="0.25">
      <c r="A1511" s="4">
        <v>1506</v>
      </c>
      <c r="B1511" s="3" t="str">
        <f>"00103095"</f>
        <v>00103095</v>
      </c>
    </row>
    <row r="1512" spans="1:2" x14ac:dyDescent="0.25">
      <c r="A1512" s="4">
        <v>1507</v>
      </c>
      <c r="B1512" s="3" t="str">
        <f>"00103173"</f>
        <v>00103173</v>
      </c>
    </row>
    <row r="1513" spans="1:2" x14ac:dyDescent="0.25">
      <c r="A1513" s="4">
        <v>1508</v>
      </c>
      <c r="B1513" s="3" t="str">
        <f>"00103175"</f>
        <v>00103175</v>
      </c>
    </row>
    <row r="1514" spans="1:2" x14ac:dyDescent="0.25">
      <c r="A1514" s="4">
        <v>1509</v>
      </c>
      <c r="B1514" s="3" t="str">
        <f>"00103312"</f>
        <v>00103312</v>
      </c>
    </row>
    <row r="1515" spans="1:2" x14ac:dyDescent="0.25">
      <c r="A1515" s="4">
        <v>1510</v>
      </c>
      <c r="B1515" s="3" t="str">
        <f>"00103431"</f>
        <v>00103431</v>
      </c>
    </row>
    <row r="1516" spans="1:2" x14ac:dyDescent="0.25">
      <c r="A1516" s="4">
        <v>1511</v>
      </c>
      <c r="B1516" s="3" t="str">
        <f>"00103432"</f>
        <v>00103432</v>
      </c>
    </row>
    <row r="1517" spans="1:2" x14ac:dyDescent="0.25">
      <c r="A1517" s="4">
        <v>1512</v>
      </c>
      <c r="B1517" s="3" t="str">
        <f>"00103507"</f>
        <v>00103507</v>
      </c>
    </row>
    <row r="1518" spans="1:2" x14ac:dyDescent="0.25">
      <c r="A1518" s="4">
        <v>1513</v>
      </c>
      <c r="B1518" s="3" t="str">
        <f>"00103509"</f>
        <v>00103509</v>
      </c>
    </row>
    <row r="1519" spans="1:2" x14ac:dyDescent="0.25">
      <c r="A1519" s="4">
        <v>1514</v>
      </c>
      <c r="B1519" s="3" t="str">
        <f>"00103599"</f>
        <v>00103599</v>
      </c>
    </row>
    <row r="1520" spans="1:2" x14ac:dyDescent="0.25">
      <c r="A1520" s="4">
        <v>1515</v>
      </c>
      <c r="B1520" s="3" t="str">
        <f>"00103695"</f>
        <v>00103695</v>
      </c>
    </row>
    <row r="1521" spans="1:2" x14ac:dyDescent="0.25">
      <c r="A1521" s="4">
        <v>1516</v>
      </c>
      <c r="B1521" s="3" t="str">
        <f>"00103711"</f>
        <v>00103711</v>
      </c>
    </row>
    <row r="1522" spans="1:2" x14ac:dyDescent="0.25">
      <c r="A1522" s="4">
        <v>1517</v>
      </c>
      <c r="B1522" s="3" t="str">
        <f>"00103757"</f>
        <v>00103757</v>
      </c>
    </row>
    <row r="1523" spans="1:2" x14ac:dyDescent="0.25">
      <c r="A1523" s="4">
        <v>1518</v>
      </c>
      <c r="B1523" s="3" t="str">
        <f>"00103801"</f>
        <v>00103801</v>
      </c>
    </row>
    <row r="1524" spans="1:2" x14ac:dyDescent="0.25">
      <c r="A1524" s="4">
        <v>1519</v>
      </c>
      <c r="B1524" s="3" t="str">
        <f>"00103855"</f>
        <v>00103855</v>
      </c>
    </row>
    <row r="1525" spans="1:2" x14ac:dyDescent="0.25">
      <c r="A1525" s="4">
        <v>1520</v>
      </c>
      <c r="B1525" s="3" t="str">
        <f>"00103862"</f>
        <v>00103862</v>
      </c>
    </row>
    <row r="1526" spans="1:2" x14ac:dyDescent="0.25">
      <c r="A1526" s="4">
        <v>1521</v>
      </c>
      <c r="B1526" s="3" t="str">
        <f>"00103863"</f>
        <v>00103863</v>
      </c>
    </row>
    <row r="1527" spans="1:2" x14ac:dyDescent="0.25">
      <c r="A1527" s="4">
        <v>1522</v>
      </c>
      <c r="B1527" s="3" t="str">
        <f>"00104780"</f>
        <v>00104780</v>
      </c>
    </row>
    <row r="1528" spans="1:2" x14ac:dyDescent="0.25">
      <c r="A1528" s="4">
        <v>1523</v>
      </c>
      <c r="B1528" s="3" t="str">
        <f>"00104985"</f>
        <v>00104985</v>
      </c>
    </row>
    <row r="1529" spans="1:2" x14ac:dyDescent="0.25">
      <c r="A1529" s="4">
        <v>1524</v>
      </c>
      <c r="B1529" s="3" t="str">
        <f>"00105256"</f>
        <v>00105256</v>
      </c>
    </row>
    <row r="1530" spans="1:2" x14ac:dyDescent="0.25">
      <c r="A1530" s="4">
        <v>1525</v>
      </c>
      <c r="B1530" s="3" t="str">
        <f>"00105549"</f>
        <v>00105549</v>
      </c>
    </row>
    <row r="1531" spans="1:2" x14ac:dyDescent="0.25">
      <c r="A1531" s="4">
        <v>1526</v>
      </c>
      <c r="B1531" s="3" t="str">
        <f>"00105739"</f>
        <v>00105739</v>
      </c>
    </row>
    <row r="1532" spans="1:2" x14ac:dyDescent="0.25">
      <c r="A1532" s="4">
        <v>1527</v>
      </c>
      <c r="B1532" s="3" t="str">
        <f>"00106004"</f>
        <v>00106004</v>
      </c>
    </row>
    <row r="1533" spans="1:2" x14ac:dyDescent="0.25">
      <c r="A1533" s="4">
        <v>1528</v>
      </c>
      <c r="B1533" s="3" t="str">
        <f>"00106618"</f>
        <v>00106618</v>
      </c>
    </row>
    <row r="1534" spans="1:2" x14ac:dyDescent="0.25">
      <c r="A1534" s="4">
        <v>1529</v>
      </c>
      <c r="B1534" s="3" t="str">
        <f>"00107181"</f>
        <v>00107181</v>
      </c>
    </row>
    <row r="1535" spans="1:2" x14ac:dyDescent="0.25">
      <c r="A1535" s="4">
        <v>1530</v>
      </c>
      <c r="B1535" s="3" t="str">
        <f>"00107309"</f>
        <v>00107309</v>
      </c>
    </row>
    <row r="1536" spans="1:2" x14ac:dyDescent="0.25">
      <c r="A1536" s="4">
        <v>1531</v>
      </c>
      <c r="B1536" s="3" t="str">
        <f>"00108039"</f>
        <v>00108039</v>
      </c>
    </row>
    <row r="1537" spans="1:2" x14ac:dyDescent="0.25">
      <c r="A1537" s="4">
        <v>1532</v>
      </c>
      <c r="B1537" s="3" t="str">
        <f>"00108135"</f>
        <v>00108135</v>
      </c>
    </row>
    <row r="1538" spans="1:2" x14ac:dyDescent="0.25">
      <c r="A1538" s="4">
        <v>1533</v>
      </c>
      <c r="B1538" s="3" t="str">
        <f>"00108353"</f>
        <v>00108353</v>
      </c>
    </row>
    <row r="1539" spans="1:2" x14ac:dyDescent="0.25">
      <c r="A1539" s="4">
        <v>1534</v>
      </c>
      <c r="B1539" s="3" t="str">
        <f>"00108558"</f>
        <v>00108558</v>
      </c>
    </row>
    <row r="1540" spans="1:2" x14ac:dyDescent="0.25">
      <c r="A1540" s="4">
        <v>1535</v>
      </c>
      <c r="B1540" s="3" t="str">
        <f>"00108674"</f>
        <v>00108674</v>
      </c>
    </row>
    <row r="1541" spans="1:2" x14ac:dyDescent="0.25">
      <c r="A1541" s="4">
        <v>1536</v>
      </c>
      <c r="B1541" s="3" t="str">
        <f>"00108987"</f>
        <v>00108987</v>
      </c>
    </row>
    <row r="1542" spans="1:2" x14ac:dyDescent="0.25">
      <c r="A1542" s="4">
        <v>1537</v>
      </c>
      <c r="B1542" s="3" t="str">
        <f>"00109056"</f>
        <v>00109056</v>
      </c>
    </row>
    <row r="1543" spans="1:2" x14ac:dyDescent="0.25">
      <c r="A1543" s="4">
        <v>1538</v>
      </c>
      <c r="B1543" s="3" t="str">
        <f>"00109168"</f>
        <v>00109168</v>
      </c>
    </row>
    <row r="1544" spans="1:2" x14ac:dyDescent="0.25">
      <c r="A1544" s="4">
        <v>1539</v>
      </c>
      <c r="B1544" s="3" t="str">
        <f>"00109173"</f>
        <v>00109173</v>
      </c>
    </row>
    <row r="1545" spans="1:2" x14ac:dyDescent="0.25">
      <c r="A1545" s="4">
        <v>1540</v>
      </c>
      <c r="B1545" s="3" t="str">
        <f>"00109255"</f>
        <v>00109255</v>
      </c>
    </row>
    <row r="1546" spans="1:2" x14ac:dyDescent="0.25">
      <c r="A1546" s="4">
        <v>1541</v>
      </c>
      <c r="B1546" s="3" t="str">
        <f>"00109301"</f>
        <v>00109301</v>
      </c>
    </row>
    <row r="1547" spans="1:2" x14ac:dyDescent="0.25">
      <c r="A1547" s="4">
        <v>1542</v>
      </c>
      <c r="B1547" s="3" t="str">
        <f>"00109408"</f>
        <v>00109408</v>
      </c>
    </row>
    <row r="1548" spans="1:2" x14ac:dyDescent="0.25">
      <c r="A1548" s="4">
        <v>1543</v>
      </c>
      <c r="B1548" s="3" t="str">
        <f>"00109591"</f>
        <v>00109591</v>
      </c>
    </row>
    <row r="1549" spans="1:2" x14ac:dyDescent="0.25">
      <c r="A1549" s="4">
        <v>1544</v>
      </c>
      <c r="B1549" s="3" t="str">
        <f>"00109646"</f>
        <v>00109646</v>
      </c>
    </row>
    <row r="1550" spans="1:2" x14ac:dyDescent="0.25">
      <c r="A1550" s="4">
        <v>1545</v>
      </c>
      <c r="B1550" s="3" t="str">
        <f>"00109808"</f>
        <v>00109808</v>
      </c>
    </row>
    <row r="1551" spans="1:2" x14ac:dyDescent="0.25">
      <c r="A1551" s="4">
        <v>1546</v>
      </c>
      <c r="B1551" s="3" t="str">
        <f>"00109928"</f>
        <v>00109928</v>
      </c>
    </row>
    <row r="1552" spans="1:2" x14ac:dyDescent="0.25">
      <c r="A1552" s="4">
        <v>1547</v>
      </c>
      <c r="B1552" s="3" t="str">
        <f>"00110055"</f>
        <v>00110055</v>
      </c>
    </row>
    <row r="1553" spans="1:2" x14ac:dyDescent="0.25">
      <c r="A1553" s="4">
        <v>1548</v>
      </c>
      <c r="B1553" s="3" t="str">
        <f>"00110588"</f>
        <v>00110588</v>
      </c>
    </row>
    <row r="1554" spans="1:2" x14ac:dyDescent="0.25">
      <c r="A1554" s="4">
        <v>1549</v>
      </c>
      <c r="B1554" s="3" t="str">
        <f>"00110644"</f>
        <v>00110644</v>
      </c>
    </row>
    <row r="1555" spans="1:2" x14ac:dyDescent="0.25">
      <c r="A1555" s="4">
        <v>1550</v>
      </c>
      <c r="B1555" s="3" t="str">
        <f>"00110879"</f>
        <v>00110879</v>
      </c>
    </row>
    <row r="1556" spans="1:2" x14ac:dyDescent="0.25">
      <c r="A1556" s="4">
        <v>1551</v>
      </c>
      <c r="B1556" s="3" t="str">
        <f>"00110957"</f>
        <v>00110957</v>
      </c>
    </row>
    <row r="1557" spans="1:2" x14ac:dyDescent="0.25">
      <c r="A1557" s="4">
        <v>1552</v>
      </c>
      <c r="B1557" s="3" t="str">
        <f>"00110960"</f>
        <v>00110960</v>
      </c>
    </row>
    <row r="1558" spans="1:2" x14ac:dyDescent="0.25">
      <c r="A1558" s="4">
        <v>1553</v>
      </c>
      <c r="B1558" s="3" t="str">
        <f>"00111381"</f>
        <v>00111381</v>
      </c>
    </row>
    <row r="1559" spans="1:2" x14ac:dyDescent="0.25">
      <c r="A1559" s="4">
        <v>1554</v>
      </c>
      <c r="B1559" s="3" t="str">
        <f>"00112412"</f>
        <v>00112412</v>
      </c>
    </row>
    <row r="1560" spans="1:2" x14ac:dyDescent="0.25">
      <c r="A1560" s="4">
        <v>1555</v>
      </c>
      <c r="B1560" s="3" t="str">
        <f>"00112645"</f>
        <v>00112645</v>
      </c>
    </row>
    <row r="1561" spans="1:2" x14ac:dyDescent="0.25">
      <c r="A1561" s="4">
        <v>1556</v>
      </c>
      <c r="B1561" s="3" t="str">
        <f>"00113007"</f>
        <v>00113007</v>
      </c>
    </row>
    <row r="1562" spans="1:2" x14ac:dyDescent="0.25">
      <c r="A1562" s="4">
        <v>1557</v>
      </c>
      <c r="B1562" s="3" t="str">
        <f>"00113155"</f>
        <v>00113155</v>
      </c>
    </row>
    <row r="1563" spans="1:2" x14ac:dyDescent="0.25">
      <c r="A1563" s="4">
        <v>1558</v>
      </c>
      <c r="B1563" s="3" t="str">
        <f>"00113165"</f>
        <v>00113165</v>
      </c>
    </row>
    <row r="1564" spans="1:2" x14ac:dyDescent="0.25">
      <c r="A1564" s="4">
        <v>1559</v>
      </c>
      <c r="B1564" s="3" t="str">
        <f>"00113179"</f>
        <v>00113179</v>
      </c>
    </row>
    <row r="1565" spans="1:2" x14ac:dyDescent="0.25">
      <c r="A1565" s="4">
        <v>1560</v>
      </c>
      <c r="B1565" s="3" t="str">
        <f>"00113362"</f>
        <v>00113362</v>
      </c>
    </row>
    <row r="1566" spans="1:2" x14ac:dyDescent="0.25">
      <c r="A1566" s="4">
        <v>1561</v>
      </c>
      <c r="B1566" s="3" t="str">
        <f>"00113436"</f>
        <v>00113436</v>
      </c>
    </row>
    <row r="1567" spans="1:2" x14ac:dyDescent="0.25">
      <c r="A1567" s="4">
        <v>1562</v>
      </c>
      <c r="B1567" s="3" t="str">
        <f>"00114442"</f>
        <v>00114442</v>
      </c>
    </row>
    <row r="1568" spans="1:2" x14ac:dyDescent="0.25">
      <c r="A1568" s="4">
        <v>1563</v>
      </c>
      <c r="B1568" s="3" t="str">
        <f>"00115478"</f>
        <v>00115478</v>
      </c>
    </row>
    <row r="1569" spans="1:2" x14ac:dyDescent="0.25">
      <c r="A1569" s="4">
        <v>1564</v>
      </c>
      <c r="B1569" s="3" t="str">
        <f>"00115529"</f>
        <v>00115529</v>
      </c>
    </row>
    <row r="1570" spans="1:2" x14ac:dyDescent="0.25">
      <c r="A1570" s="4">
        <v>1565</v>
      </c>
      <c r="B1570" s="3" t="str">
        <f>"00115559"</f>
        <v>00115559</v>
      </c>
    </row>
    <row r="1571" spans="1:2" x14ac:dyDescent="0.25">
      <c r="A1571" s="4">
        <v>1566</v>
      </c>
      <c r="B1571" s="3" t="str">
        <f>"00116144"</f>
        <v>00116144</v>
      </c>
    </row>
    <row r="1572" spans="1:2" x14ac:dyDescent="0.25">
      <c r="A1572" s="4">
        <v>1567</v>
      </c>
      <c r="B1572" s="3" t="str">
        <f>"00116823"</f>
        <v>00116823</v>
      </c>
    </row>
    <row r="1573" spans="1:2" x14ac:dyDescent="0.25">
      <c r="A1573" s="4">
        <v>1568</v>
      </c>
      <c r="B1573" s="3" t="str">
        <f>"00117026"</f>
        <v>00117026</v>
      </c>
    </row>
    <row r="1574" spans="1:2" x14ac:dyDescent="0.25">
      <c r="A1574" s="4">
        <v>1569</v>
      </c>
      <c r="B1574" s="3" t="str">
        <f>"00117655"</f>
        <v>00117655</v>
      </c>
    </row>
    <row r="1575" spans="1:2" x14ac:dyDescent="0.25">
      <c r="A1575" s="4">
        <v>1570</v>
      </c>
      <c r="B1575" s="3" t="str">
        <f>"00118227"</f>
        <v>00118227</v>
      </c>
    </row>
    <row r="1576" spans="1:2" x14ac:dyDescent="0.25">
      <c r="A1576" s="4">
        <v>1571</v>
      </c>
      <c r="B1576" s="3" t="str">
        <f>"00118353"</f>
        <v>00118353</v>
      </c>
    </row>
    <row r="1577" spans="1:2" x14ac:dyDescent="0.25">
      <c r="A1577" s="4">
        <v>1572</v>
      </c>
      <c r="B1577" s="3" t="str">
        <f>"00118384"</f>
        <v>00118384</v>
      </c>
    </row>
    <row r="1578" spans="1:2" x14ac:dyDescent="0.25">
      <c r="A1578" s="4">
        <v>1573</v>
      </c>
      <c r="B1578" s="3" t="str">
        <f>"00118736"</f>
        <v>00118736</v>
      </c>
    </row>
    <row r="1579" spans="1:2" x14ac:dyDescent="0.25">
      <c r="A1579" s="4">
        <v>1574</v>
      </c>
      <c r="B1579" s="3" t="str">
        <f>"00118855"</f>
        <v>00118855</v>
      </c>
    </row>
    <row r="1580" spans="1:2" x14ac:dyDescent="0.25">
      <c r="A1580" s="4">
        <v>1575</v>
      </c>
      <c r="B1580" s="3" t="str">
        <f>"00119458"</f>
        <v>00119458</v>
      </c>
    </row>
    <row r="1581" spans="1:2" x14ac:dyDescent="0.25">
      <c r="A1581" s="4">
        <v>1576</v>
      </c>
      <c r="B1581" s="3" t="str">
        <f>"00119652"</f>
        <v>00119652</v>
      </c>
    </row>
    <row r="1582" spans="1:2" x14ac:dyDescent="0.25">
      <c r="A1582" s="4">
        <v>1577</v>
      </c>
      <c r="B1582" s="3" t="str">
        <f>"00120205"</f>
        <v>00120205</v>
      </c>
    </row>
    <row r="1583" spans="1:2" x14ac:dyDescent="0.25">
      <c r="A1583" s="4">
        <v>1578</v>
      </c>
      <c r="B1583" s="3" t="str">
        <f>"00120421"</f>
        <v>00120421</v>
      </c>
    </row>
    <row r="1584" spans="1:2" x14ac:dyDescent="0.25">
      <c r="A1584" s="4">
        <v>1579</v>
      </c>
      <c r="B1584" s="3" t="str">
        <f>"00121141"</f>
        <v>00121141</v>
      </c>
    </row>
    <row r="1585" spans="1:2" x14ac:dyDescent="0.25">
      <c r="A1585" s="4">
        <v>1580</v>
      </c>
      <c r="B1585" s="3" t="str">
        <f>"00121421"</f>
        <v>00121421</v>
      </c>
    </row>
    <row r="1586" spans="1:2" x14ac:dyDescent="0.25">
      <c r="A1586" s="4">
        <v>1581</v>
      </c>
      <c r="B1586" s="3" t="str">
        <f>"00122356"</f>
        <v>00122356</v>
      </c>
    </row>
    <row r="1587" spans="1:2" x14ac:dyDescent="0.25">
      <c r="A1587" s="4">
        <v>1582</v>
      </c>
      <c r="B1587" s="3" t="str">
        <f>"00122946"</f>
        <v>00122946</v>
      </c>
    </row>
    <row r="1588" spans="1:2" x14ac:dyDescent="0.25">
      <c r="A1588" s="4">
        <v>1583</v>
      </c>
      <c r="B1588" s="3" t="str">
        <f>"00123178"</f>
        <v>00123178</v>
      </c>
    </row>
    <row r="1589" spans="1:2" x14ac:dyDescent="0.25">
      <c r="A1589" s="4">
        <v>1584</v>
      </c>
      <c r="B1589" s="3" t="str">
        <f>"00123546"</f>
        <v>00123546</v>
      </c>
    </row>
    <row r="1590" spans="1:2" x14ac:dyDescent="0.25">
      <c r="A1590" s="4">
        <v>1585</v>
      </c>
      <c r="B1590" s="3" t="str">
        <f>"00123840"</f>
        <v>00123840</v>
      </c>
    </row>
    <row r="1591" spans="1:2" x14ac:dyDescent="0.25">
      <c r="A1591" s="4">
        <v>1586</v>
      </c>
      <c r="B1591" s="3" t="str">
        <f>"00124182"</f>
        <v>00124182</v>
      </c>
    </row>
    <row r="1592" spans="1:2" x14ac:dyDescent="0.25">
      <c r="A1592" s="4">
        <v>1587</v>
      </c>
      <c r="B1592" s="3" t="str">
        <f>"00124644"</f>
        <v>00124644</v>
      </c>
    </row>
    <row r="1593" spans="1:2" x14ac:dyDescent="0.25">
      <c r="A1593" s="4">
        <v>1588</v>
      </c>
      <c r="B1593" s="3" t="str">
        <f>"00124776"</f>
        <v>00124776</v>
      </c>
    </row>
    <row r="1594" spans="1:2" x14ac:dyDescent="0.25">
      <c r="A1594" s="4">
        <v>1589</v>
      </c>
      <c r="B1594" s="3" t="str">
        <f>"00124997"</f>
        <v>00124997</v>
      </c>
    </row>
    <row r="1595" spans="1:2" x14ac:dyDescent="0.25">
      <c r="A1595" s="4">
        <v>1590</v>
      </c>
      <c r="B1595" s="3" t="str">
        <f>"00125103"</f>
        <v>00125103</v>
      </c>
    </row>
    <row r="1596" spans="1:2" x14ac:dyDescent="0.25">
      <c r="A1596" s="4">
        <v>1591</v>
      </c>
      <c r="B1596" s="3" t="str">
        <f>"00125166"</f>
        <v>00125166</v>
      </c>
    </row>
    <row r="1597" spans="1:2" x14ac:dyDescent="0.25">
      <c r="A1597" s="4">
        <v>1592</v>
      </c>
      <c r="B1597" s="3" t="str">
        <f>"00125370"</f>
        <v>00125370</v>
      </c>
    </row>
    <row r="1598" spans="1:2" x14ac:dyDescent="0.25">
      <c r="A1598" s="4">
        <v>1593</v>
      </c>
      <c r="B1598" s="3" t="str">
        <f>"00125419"</f>
        <v>00125419</v>
      </c>
    </row>
    <row r="1599" spans="1:2" x14ac:dyDescent="0.25">
      <c r="A1599" s="4">
        <v>1594</v>
      </c>
      <c r="B1599" s="3" t="str">
        <f>"00125464"</f>
        <v>00125464</v>
      </c>
    </row>
    <row r="1600" spans="1:2" x14ac:dyDescent="0.25">
      <c r="A1600" s="4">
        <v>1595</v>
      </c>
      <c r="B1600" s="3" t="str">
        <f>"00125500"</f>
        <v>00125500</v>
      </c>
    </row>
    <row r="1601" spans="1:2" x14ac:dyDescent="0.25">
      <c r="A1601" s="4">
        <v>1596</v>
      </c>
      <c r="B1601" s="3" t="str">
        <f>"00125804"</f>
        <v>00125804</v>
      </c>
    </row>
    <row r="1602" spans="1:2" x14ac:dyDescent="0.25">
      <c r="A1602" s="4">
        <v>1597</v>
      </c>
      <c r="B1602" s="3" t="str">
        <f>"00125882"</f>
        <v>00125882</v>
      </c>
    </row>
    <row r="1603" spans="1:2" x14ac:dyDescent="0.25">
      <c r="A1603" s="4">
        <v>1598</v>
      </c>
      <c r="B1603" s="3" t="str">
        <f>"00126055"</f>
        <v>00126055</v>
      </c>
    </row>
    <row r="1604" spans="1:2" x14ac:dyDescent="0.25">
      <c r="A1604" s="4">
        <v>1599</v>
      </c>
      <c r="B1604" s="3" t="str">
        <f>"00126100"</f>
        <v>00126100</v>
      </c>
    </row>
    <row r="1605" spans="1:2" x14ac:dyDescent="0.25">
      <c r="A1605" s="4">
        <v>1600</v>
      </c>
      <c r="B1605" s="3" t="str">
        <f>"00126975"</f>
        <v>00126975</v>
      </c>
    </row>
    <row r="1606" spans="1:2" x14ac:dyDescent="0.25">
      <c r="A1606" s="4">
        <v>1601</v>
      </c>
      <c r="B1606" s="3" t="str">
        <f>"00127053"</f>
        <v>00127053</v>
      </c>
    </row>
    <row r="1607" spans="1:2" s="17" customFormat="1" x14ac:dyDescent="0.25">
      <c r="A1607" s="4">
        <v>1602</v>
      </c>
      <c r="B1607" s="18" t="s">
        <v>5</v>
      </c>
    </row>
    <row r="1608" spans="1:2" x14ac:dyDescent="0.25">
      <c r="A1608" s="4">
        <v>1603</v>
      </c>
      <c r="B1608" s="3" t="str">
        <f>"00127925"</f>
        <v>00127925</v>
      </c>
    </row>
    <row r="1609" spans="1:2" x14ac:dyDescent="0.25">
      <c r="A1609" s="4">
        <v>1604</v>
      </c>
      <c r="B1609" s="3" t="str">
        <f>"00128248"</f>
        <v>00128248</v>
      </c>
    </row>
    <row r="1610" spans="1:2" x14ac:dyDescent="0.25">
      <c r="A1610" s="4">
        <v>1605</v>
      </c>
      <c r="B1610" s="3" t="str">
        <f>"00128257"</f>
        <v>00128257</v>
      </c>
    </row>
    <row r="1611" spans="1:2" x14ac:dyDescent="0.25">
      <c r="A1611" s="4">
        <v>1606</v>
      </c>
      <c r="B1611" s="3" t="str">
        <f>"00128537"</f>
        <v>00128537</v>
      </c>
    </row>
    <row r="1612" spans="1:2" x14ac:dyDescent="0.25">
      <c r="A1612" s="4">
        <v>1607</v>
      </c>
      <c r="B1612" s="3" t="str">
        <f>"00128631"</f>
        <v>00128631</v>
      </c>
    </row>
    <row r="1613" spans="1:2" x14ac:dyDescent="0.25">
      <c r="A1613" s="4">
        <v>1608</v>
      </c>
      <c r="B1613" s="3" t="str">
        <f>"00129253"</f>
        <v>00129253</v>
      </c>
    </row>
    <row r="1614" spans="1:2" x14ac:dyDescent="0.25">
      <c r="A1614" s="4">
        <v>1609</v>
      </c>
      <c r="B1614" s="3" t="str">
        <f>"00129283"</f>
        <v>00129283</v>
      </c>
    </row>
    <row r="1615" spans="1:2" x14ac:dyDescent="0.25">
      <c r="A1615" s="4">
        <v>1610</v>
      </c>
      <c r="B1615" s="3" t="str">
        <f>"00129356"</f>
        <v>00129356</v>
      </c>
    </row>
    <row r="1616" spans="1:2" x14ac:dyDescent="0.25">
      <c r="A1616" s="4">
        <v>1611</v>
      </c>
      <c r="B1616" s="3" t="str">
        <f>"00129452"</f>
        <v>00129452</v>
      </c>
    </row>
    <row r="1617" spans="1:2" x14ac:dyDescent="0.25">
      <c r="A1617" s="4">
        <v>1612</v>
      </c>
      <c r="B1617" s="3" t="str">
        <f>"00129761"</f>
        <v>00129761</v>
      </c>
    </row>
    <row r="1618" spans="1:2" x14ac:dyDescent="0.25">
      <c r="A1618" s="4">
        <v>1613</v>
      </c>
      <c r="B1618" s="3" t="str">
        <f>"00131834"</f>
        <v>00131834</v>
      </c>
    </row>
    <row r="1619" spans="1:2" x14ac:dyDescent="0.25">
      <c r="A1619" s="4">
        <v>1614</v>
      </c>
      <c r="B1619" s="3" t="str">
        <f>"00131965"</f>
        <v>00131965</v>
      </c>
    </row>
    <row r="1620" spans="1:2" x14ac:dyDescent="0.25">
      <c r="A1620" s="4">
        <v>1615</v>
      </c>
      <c r="B1620" s="3" t="str">
        <f>"00132510"</f>
        <v>00132510</v>
      </c>
    </row>
    <row r="1621" spans="1:2" x14ac:dyDescent="0.25">
      <c r="A1621" s="4">
        <v>1616</v>
      </c>
      <c r="B1621" s="3" t="str">
        <f>"00132625"</f>
        <v>00132625</v>
      </c>
    </row>
    <row r="1622" spans="1:2" x14ac:dyDescent="0.25">
      <c r="A1622" s="4">
        <v>1617</v>
      </c>
      <c r="B1622" s="3" t="str">
        <f>"00132682"</f>
        <v>00132682</v>
      </c>
    </row>
    <row r="1623" spans="1:2" x14ac:dyDescent="0.25">
      <c r="A1623" s="4">
        <v>1618</v>
      </c>
      <c r="B1623" s="3" t="str">
        <f>"00133009"</f>
        <v>00133009</v>
      </c>
    </row>
    <row r="1624" spans="1:2" x14ac:dyDescent="0.25">
      <c r="A1624" s="4">
        <v>1619</v>
      </c>
      <c r="B1624" s="3" t="str">
        <f>"00133058"</f>
        <v>00133058</v>
      </c>
    </row>
    <row r="1625" spans="1:2" x14ac:dyDescent="0.25">
      <c r="A1625" s="4">
        <v>1620</v>
      </c>
      <c r="B1625" s="3" t="str">
        <f>"00134604"</f>
        <v>00134604</v>
      </c>
    </row>
    <row r="1626" spans="1:2" x14ac:dyDescent="0.25">
      <c r="A1626" s="4">
        <v>1621</v>
      </c>
      <c r="B1626" s="3" t="str">
        <f>"00134864"</f>
        <v>00134864</v>
      </c>
    </row>
    <row r="1627" spans="1:2" x14ac:dyDescent="0.25">
      <c r="A1627" s="4">
        <v>1622</v>
      </c>
      <c r="B1627" s="3" t="str">
        <f>"00134935"</f>
        <v>00134935</v>
      </c>
    </row>
    <row r="1628" spans="1:2" x14ac:dyDescent="0.25">
      <c r="A1628" s="4">
        <v>1623</v>
      </c>
      <c r="B1628" s="3" t="str">
        <f>"00136983"</f>
        <v>00136983</v>
      </c>
    </row>
    <row r="1629" spans="1:2" x14ac:dyDescent="0.25">
      <c r="A1629" s="4">
        <v>1624</v>
      </c>
      <c r="B1629" s="3" t="str">
        <f>"00137066"</f>
        <v>00137066</v>
      </c>
    </row>
    <row r="1630" spans="1:2" x14ac:dyDescent="0.25">
      <c r="A1630" s="4">
        <v>1625</v>
      </c>
      <c r="B1630" s="3" t="str">
        <f>"00137483"</f>
        <v>00137483</v>
      </c>
    </row>
    <row r="1631" spans="1:2" x14ac:dyDescent="0.25">
      <c r="A1631" s="4">
        <v>1626</v>
      </c>
      <c r="B1631" s="3" t="str">
        <f>"00137852"</f>
        <v>00137852</v>
      </c>
    </row>
    <row r="1632" spans="1:2" x14ac:dyDescent="0.25">
      <c r="A1632" s="4">
        <v>1627</v>
      </c>
      <c r="B1632" s="3" t="str">
        <f>"00137895"</f>
        <v>00137895</v>
      </c>
    </row>
    <row r="1633" spans="1:2" x14ac:dyDescent="0.25">
      <c r="A1633" s="4">
        <v>1628</v>
      </c>
      <c r="B1633" s="3" t="str">
        <f>"00138007"</f>
        <v>00138007</v>
      </c>
    </row>
    <row r="1634" spans="1:2" x14ac:dyDescent="0.25">
      <c r="A1634" s="4">
        <v>1629</v>
      </c>
      <c r="B1634" s="3" t="str">
        <f>"00138114"</f>
        <v>00138114</v>
      </c>
    </row>
    <row r="1635" spans="1:2" x14ac:dyDescent="0.25">
      <c r="A1635" s="4">
        <v>1630</v>
      </c>
      <c r="B1635" s="3" t="str">
        <f>"00138179"</f>
        <v>00138179</v>
      </c>
    </row>
    <row r="1636" spans="1:2" x14ac:dyDescent="0.25">
      <c r="A1636" s="4">
        <v>1631</v>
      </c>
      <c r="B1636" s="3" t="str">
        <f>"00138249"</f>
        <v>00138249</v>
      </c>
    </row>
    <row r="1637" spans="1:2" x14ac:dyDescent="0.25">
      <c r="A1637" s="4">
        <v>1632</v>
      </c>
      <c r="B1637" s="3" t="str">
        <f>"00138370"</f>
        <v>00138370</v>
      </c>
    </row>
    <row r="1638" spans="1:2" x14ac:dyDescent="0.25">
      <c r="A1638" s="4">
        <v>1633</v>
      </c>
      <c r="B1638" s="3" t="str">
        <f>"00138594"</f>
        <v>00138594</v>
      </c>
    </row>
    <row r="1639" spans="1:2" x14ac:dyDescent="0.25">
      <c r="A1639" s="4">
        <v>1634</v>
      </c>
      <c r="B1639" s="3" t="str">
        <f>"00139294"</f>
        <v>00139294</v>
      </c>
    </row>
    <row r="1640" spans="1:2" x14ac:dyDescent="0.25">
      <c r="A1640" s="4">
        <v>1635</v>
      </c>
      <c r="B1640" s="3" t="str">
        <f>"00139516"</f>
        <v>00139516</v>
      </c>
    </row>
    <row r="1641" spans="1:2" x14ac:dyDescent="0.25">
      <c r="A1641" s="4">
        <v>1636</v>
      </c>
      <c r="B1641" s="3" t="str">
        <f>"00139624"</f>
        <v>00139624</v>
      </c>
    </row>
    <row r="1642" spans="1:2" x14ac:dyDescent="0.25">
      <c r="A1642" s="4">
        <v>1637</v>
      </c>
      <c r="B1642" s="3" t="str">
        <f>"00139661"</f>
        <v>00139661</v>
      </c>
    </row>
    <row r="1643" spans="1:2" x14ac:dyDescent="0.25">
      <c r="A1643" s="4">
        <v>1638</v>
      </c>
      <c r="B1643" s="3" t="str">
        <f>"00139918"</f>
        <v>00139918</v>
      </c>
    </row>
    <row r="1644" spans="1:2" x14ac:dyDescent="0.25">
      <c r="A1644" s="4">
        <v>1639</v>
      </c>
      <c r="B1644" s="3" t="str">
        <f>"00140134"</f>
        <v>00140134</v>
      </c>
    </row>
    <row r="1645" spans="1:2" x14ac:dyDescent="0.25">
      <c r="A1645" s="4">
        <v>1640</v>
      </c>
      <c r="B1645" s="3" t="str">
        <f>"00140276"</f>
        <v>00140276</v>
      </c>
    </row>
    <row r="1646" spans="1:2" x14ac:dyDescent="0.25">
      <c r="A1646" s="4">
        <v>1641</v>
      </c>
      <c r="B1646" s="3" t="str">
        <f>"00140412"</f>
        <v>00140412</v>
      </c>
    </row>
    <row r="1647" spans="1:2" x14ac:dyDescent="0.25">
      <c r="A1647" s="4">
        <v>1642</v>
      </c>
      <c r="B1647" s="3" t="str">
        <f>"00140459"</f>
        <v>00140459</v>
      </c>
    </row>
    <row r="1648" spans="1:2" x14ac:dyDescent="0.25">
      <c r="A1648" s="4">
        <v>1643</v>
      </c>
      <c r="B1648" s="3" t="str">
        <f>"00140509"</f>
        <v>00140509</v>
      </c>
    </row>
    <row r="1649" spans="1:2" x14ac:dyDescent="0.25">
      <c r="A1649" s="4">
        <v>1644</v>
      </c>
      <c r="B1649" s="3" t="str">
        <f>"00140624"</f>
        <v>00140624</v>
      </c>
    </row>
    <row r="1650" spans="1:2" x14ac:dyDescent="0.25">
      <c r="A1650" s="4">
        <v>1645</v>
      </c>
      <c r="B1650" s="3" t="str">
        <f>"00140824"</f>
        <v>00140824</v>
      </c>
    </row>
    <row r="1651" spans="1:2" x14ac:dyDescent="0.25">
      <c r="A1651" s="4">
        <v>1646</v>
      </c>
      <c r="B1651" s="3" t="str">
        <f>"00140881"</f>
        <v>00140881</v>
      </c>
    </row>
    <row r="1652" spans="1:2" x14ac:dyDescent="0.25">
      <c r="A1652" s="4">
        <v>1647</v>
      </c>
      <c r="B1652" s="3" t="str">
        <f>"00140948"</f>
        <v>00140948</v>
      </c>
    </row>
    <row r="1653" spans="1:2" x14ac:dyDescent="0.25">
      <c r="A1653" s="4">
        <v>1648</v>
      </c>
      <c r="B1653" s="3" t="str">
        <f>"00141032"</f>
        <v>00141032</v>
      </c>
    </row>
    <row r="1654" spans="1:2" x14ac:dyDescent="0.25">
      <c r="A1654" s="4">
        <v>1649</v>
      </c>
      <c r="B1654" s="3" t="str">
        <f>"00141077"</f>
        <v>00141077</v>
      </c>
    </row>
    <row r="1655" spans="1:2" x14ac:dyDescent="0.25">
      <c r="A1655" s="4">
        <v>1650</v>
      </c>
      <c r="B1655" s="3" t="str">
        <f>"00141157"</f>
        <v>00141157</v>
      </c>
    </row>
    <row r="1656" spans="1:2" x14ac:dyDescent="0.25">
      <c r="A1656" s="4">
        <v>1651</v>
      </c>
      <c r="B1656" s="3" t="str">
        <f>"00141174"</f>
        <v>00141174</v>
      </c>
    </row>
    <row r="1657" spans="1:2" x14ac:dyDescent="0.25">
      <c r="A1657" s="4">
        <v>1652</v>
      </c>
      <c r="B1657" s="3" t="str">
        <f>"00141184"</f>
        <v>00141184</v>
      </c>
    </row>
    <row r="1658" spans="1:2" x14ac:dyDescent="0.25">
      <c r="A1658" s="4">
        <v>1653</v>
      </c>
      <c r="B1658" s="3" t="str">
        <f>"00141300"</f>
        <v>00141300</v>
      </c>
    </row>
    <row r="1659" spans="1:2" x14ac:dyDescent="0.25">
      <c r="A1659" s="4">
        <v>1654</v>
      </c>
      <c r="B1659" s="3" t="str">
        <f>"00141403"</f>
        <v>00141403</v>
      </c>
    </row>
    <row r="1660" spans="1:2" x14ac:dyDescent="0.25">
      <c r="A1660" s="4">
        <v>1655</v>
      </c>
      <c r="B1660" s="3" t="str">
        <f>"00141587"</f>
        <v>00141587</v>
      </c>
    </row>
    <row r="1661" spans="1:2" x14ac:dyDescent="0.25">
      <c r="A1661" s="4">
        <v>1656</v>
      </c>
      <c r="B1661" s="3" t="str">
        <f>"00141984"</f>
        <v>00141984</v>
      </c>
    </row>
    <row r="1662" spans="1:2" x14ac:dyDescent="0.25">
      <c r="A1662" s="4">
        <v>1657</v>
      </c>
      <c r="B1662" s="3" t="str">
        <f>"00142545"</f>
        <v>00142545</v>
      </c>
    </row>
    <row r="1663" spans="1:2" x14ac:dyDescent="0.25">
      <c r="A1663" s="4">
        <v>1658</v>
      </c>
      <c r="B1663" s="3" t="str">
        <f>"00142834"</f>
        <v>00142834</v>
      </c>
    </row>
    <row r="1664" spans="1:2" x14ac:dyDescent="0.25">
      <c r="A1664" s="4">
        <v>1659</v>
      </c>
      <c r="B1664" s="3" t="str">
        <f>"00142844"</f>
        <v>00142844</v>
      </c>
    </row>
    <row r="1665" spans="1:2" x14ac:dyDescent="0.25">
      <c r="A1665" s="4">
        <v>1660</v>
      </c>
      <c r="B1665" s="3" t="str">
        <f>"00142860"</f>
        <v>00142860</v>
      </c>
    </row>
    <row r="1666" spans="1:2" x14ac:dyDescent="0.25">
      <c r="A1666" s="4">
        <v>1661</v>
      </c>
      <c r="B1666" s="3" t="str">
        <f>"00143163"</f>
        <v>00143163</v>
      </c>
    </row>
    <row r="1667" spans="1:2" x14ac:dyDescent="0.25">
      <c r="A1667" s="4">
        <v>1662</v>
      </c>
      <c r="B1667" s="3" t="str">
        <f>"00143316"</f>
        <v>00143316</v>
      </c>
    </row>
    <row r="1668" spans="1:2" x14ac:dyDescent="0.25">
      <c r="A1668" s="4">
        <v>1663</v>
      </c>
      <c r="B1668" s="3" t="str">
        <f>"00143406"</f>
        <v>00143406</v>
      </c>
    </row>
    <row r="1669" spans="1:2" x14ac:dyDescent="0.25">
      <c r="A1669" s="4">
        <v>1664</v>
      </c>
      <c r="B1669" s="3" t="str">
        <f>"00143522"</f>
        <v>00143522</v>
      </c>
    </row>
    <row r="1670" spans="1:2" x14ac:dyDescent="0.25">
      <c r="A1670" s="4">
        <v>1665</v>
      </c>
      <c r="B1670" s="3" t="str">
        <f>"00143616"</f>
        <v>00143616</v>
      </c>
    </row>
    <row r="1671" spans="1:2" x14ac:dyDescent="0.25">
      <c r="A1671" s="4">
        <v>1666</v>
      </c>
      <c r="B1671" s="3" t="str">
        <f>"00143699"</f>
        <v>00143699</v>
      </c>
    </row>
    <row r="1672" spans="1:2" x14ac:dyDescent="0.25">
      <c r="A1672" s="4">
        <v>1667</v>
      </c>
      <c r="B1672" s="3" t="str">
        <f>"00143711"</f>
        <v>00143711</v>
      </c>
    </row>
    <row r="1673" spans="1:2" x14ac:dyDescent="0.25">
      <c r="A1673" s="4">
        <v>1668</v>
      </c>
      <c r="B1673" s="3" t="str">
        <f>"00143768"</f>
        <v>00143768</v>
      </c>
    </row>
    <row r="1674" spans="1:2" x14ac:dyDescent="0.25">
      <c r="A1674" s="4">
        <v>1669</v>
      </c>
      <c r="B1674" s="3" t="str">
        <f>"00143801"</f>
        <v>00143801</v>
      </c>
    </row>
    <row r="1675" spans="1:2" x14ac:dyDescent="0.25">
      <c r="A1675" s="4">
        <v>1670</v>
      </c>
      <c r="B1675" s="3" t="str">
        <f>"00144044"</f>
        <v>00144044</v>
      </c>
    </row>
    <row r="1676" spans="1:2" x14ac:dyDescent="0.25">
      <c r="A1676" s="4">
        <v>1671</v>
      </c>
      <c r="B1676" s="3" t="str">
        <f>"00144221"</f>
        <v>00144221</v>
      </c>
    </row>
    <row r="1677" spans="1:2" x14ac:dyDescent="0.25">
      <c r="A1677" s="4">
        <v>1672</v>
      </c>
      <c r="B1677" s="3" t="str">
        <f>"00144299"</f>
        <v>00144299</v>
      </c>
    </row>
    <row r="1678" spans="1:2" x14ac:dyDescent="0.25">
      <c r="A1678" s="4">
        <v>1673</v>
      </c>
      <c r="B1678" s="3" t="str">
        <f>"00144336"</f>
        <v>00144336</v>
      </c>
    </row>
    <row r="1679" spans="1:2" x14ac:dyDescent="0.25">
      <c r="A1679" s="4">
        <v>1674</v>
      </c>
      <c r="B1679" s="3" t="str">
        <f>"00144337"</f>
        <v>00144337</v>
      </c>
    </row>
    <row r="1680" spans="1:2" x14ac:dyDescent="0.25">
      <c r="A1680" s="4">
        <v>1675</v>
      </c>
      <c r="B1680" s="3" t="str">
        <f>"00144344"</f>
        <v>00144344</v>
      </c>
    </row>
    <row r="1681" spans="1:2" x14ac:dyDescent="0.25">
      <c r="A1681" s="4">
        <v>1676</v>
      </c>
      <c r="B1681" s="3" t="str">
        <f>"00144390"</f>
        <v>00144390</v>
      </c>
    </row>
    <row r="1682" spans="1:2" x14ac:dyDescent="0.25">
      <c r="A1682" s="4">
        <v>1677</v>
      </c>
      <c r="B1682" s="3" t="str">
        <f>"00144392"</f>
        <v>00144392</v>
      </c>
    </row>
    <row r="1683" spans="1:2" x14ac:dyDescent="0.25">
      <c r="A1683" s="4">
        <v>1678</v>
      </c>
      <c r="B1683" s="3" t="str">
        <f>"00144558"</f>
        <v>00144558</v>
      </c>
    </row>
    <row r="1684" spans="1:2" x14ac:dyDescent="0.25">
      <c r="A1684" s="4">
        <v>1679</v>
      </c>
      <c r="B1684" s="3" t="str">
        <f>"00144579"</f>
        <v>00144579</v>
      </c>
    </row>
    <row r="1685" spans="1:2" x14ac:dyDescent="0.25">
      <c r="A1685" s="4">
        <v>1680</v>
      </c>
      <c r="B1685" s="3" t="str">
        <f>"00144701"</f>
        <v>00144701</v>
      </c>
    </row>
    <row r="1686" spans="1:2" x14ac:dyDescent="0.25">
      <c r="A1686" s="4">
        <v>1681</v>
      </c>
      <c r="B1686" s="3" t="str">
        <f>"00144773"</f>
        <v>00144773</v>
      </c>
    </row>
    <row r="1687" spans="1:2" x14ac:dyDescent="0.25">
      <c r="A1687" s="4">
        <v>1682</v>
      </c>
      <c r="B1687" s="3" t="str">
        <f>"00144799"</f>
        <v>00144799</v>
      </c>
    </row>
    <row r="1688" spans="1:2" x14ac:dyDescent="0.25">
      <c r="A1688" s="4">
        <v>1683</v>
      </c>
      <c r="B1688" s="3" t="str">
        <f>"00144846"</f>
        <v>00144846</v>
      </c>
    </row>
    <row r="1689" spans="1:2" x14ac:dyDescent="0.25">
      <c r="A1689" s="4">
        <v>1684</v>
      </c>
      <c r="B1689" s="3" t="str">
        <f>"00144899"</f>
        <v>00144899</v>
      </c>
    </row>
    <row r="1690" spans="1:2" x14ac:dyDescent="0.25">
      <c r="A1690" s="4">
        <v>1685</v>
      </c>
      <c r="B1690" s="3" t="str">
        <f>"00144922"</f>
        <v>00144922</v>
      </c>
    </row>
    <row r="1691" spans="1:2" x14ac:dyDescent="0.25">
      <c r="A1691" s="4">
        <v>1686</v>
      </c>
      <c r="B1691" s="3" t="str">
        <f>"00144976"</f>
        <v>00144976</v>
      </c>
    </row>
    <row r="1692" spans="1:2" x14ac:dyDescent="0.25">
      <c r="A1692" s="4">
        <v>1687</v>
      </c>
      <c r="B1692" s="3" t="str">
        <f>"00145110"</f>
        <v>00145110</v>
      </c>
    </row>
    <row r="1693" spans="1:2" x14ac:dyDescent="0.25">
      <c r="A1693" s="4">
        <v>1688</v>
      </c>
      <c r="B1693" s="3" t="str">
        <f>"00145118"</f>
        <v>00145118</v>
      </c>
    </row>
    <row r="1694" spans="1:2" x14ac:dyDescent="0.25">
      <c r="A1694" s="4">
        <v>1689</v>
      </c>
      <c r="B1694" s="3" t="str">
        <f>"00145309"</f>
        <v>00145309</v>
      </c>
    </row>
    <row r="1695" spans="1:2" x14ac:dyDescent="0.25">
      <c r="A1695" s="4">
        <v>1690</v>
      </c>
      <c r="B1695" s="3" t="str">
        <f>"00145478"</f>
        <v>00145478</v>
      </c>
    </row>
    <row r="1696" spans="1:2" x14ac:dyDescent="0.25">
      <c r="A1696" s="4">
        <v>1691</v>
      </c>
      <c r="B1696" s="3" t="str">
        <f>"00145495"</f>
        <v>00145495</v>
      </c>
    </row>
    <row r="1697" spans="1:2" x14ac:dyDescent="0.25">
      <c r="A1697" s="4">
        <v>1692</v>
      </c>
      <c r="B1697" s="3" t="str">
        <f>"00145513"</f>
        <v>00145513</v>
      </c>
    </row>
    <row r="1698" spans="1:2" x14ac:dyDescent="0.25">
      <c r="A1698" s="4">
        <v>1693</v>
      </c>
      <c r="B1698" s="3" t="str">
        <f>"00145728"</f>
        <v>00145728</v>
      </c>
    </row>
    <row r="1699" spans="1:2" x14ac:dyDescent="0.25">
      <c r="A1699" s="4">
        <v>1694</v>
      </c>
      <c r="B1699" s="3" t="str">
        <f>"00145741"</f>
        <v>00145741</v>
      </c>
    </row>
    <row r="1700" spans="1:2" x14ac:dyDescent="0.25">
      <c r="A1700" s="4">
        <v>1695</v>
      </c>
      <c r="B1700" s="3" t="str">
        <f>"00146180"</f>
        <v>00146180</v>
      </c>
    </row>
    <row r="1701" spans="1:2" x14ac:dyDescent="0.25">
      <c r="A1701" s="4">
        <v>1696</v>
      </c>
      <c r="B1701" s="3" t="str">
        <f>"00146272"</f>
        <v>00146272</v>
      </c>
    </row>
    <row r="1702" spans="1:2" x14ac:dyDescent="0.25">
      <c r="A1702" s="4">
        <v>1697</v>
      </c>
      <c r="B1702" s="3" t="str">
        <f>"00146306"</f>
        <v>00146306</v>
      </c>
    </row>
    <row r="1703" spans="1:2" x14ac:dyDescent="0.25">
      <c r="A1703" s="4">
        <v>1698</v>
      </c>
      <c r="B1703" s="3" t="str">
        <f>"00146423"</f>
        <v>00146423</v>
      </c>
    </row>
    <row r="1704" spans="1:2" x14ac:dyDescent="0.25">
      <c r="A1704" s="4">
        <v>1699</v>
      </c>
      <c r="B1704" s="3" t="str">
        <f>"00146682"</f>
        <v>00146682</v>
      </c>
    </row>
    <row r="1705" spans="1:2" x14ac:dyDescent="0.25">
      <c r="A1705" s="4">
        <v>1700</v>
      </c>
      <c r="B1705" s="3" t="str">
        <f>"00147079"</f>
        <v>00147079</v>
      </c>
    </row>
    <row r="1706" spans="1:2" x14ac:dyDescent="0.25">
      <c r="A1706" s="4">
        <v>1701</v>
      </c>
      <c r="B1706" s="3" t="str">
        <f>"00147111"</f>
        <v>00147111</v>
      </c>
    </row>
    <row r="1707" spans="1:2" x14ac:dyDescent="0.25">
      <c r="A1707" s="4">
        <v>1702</v>
      </c>
      <c r="B1707" s="3" t="str">
        <f>"00147192"</f>
        <v>00147192</v>
      </c>
    </row>
    <row r="1708" spans="1:2" x14ac:dyDescent="0.25">
      <c r="A1708" s="4">
        <v>1703</v>
      </c>
      <c r="B1708" s="3" t="str">
        <f>"00147236"</f>
        <v>00147236</v>
      </c>
    </row>
    <row r="1709" spans="1:2" x14ac:dyDescent="0.25">
      <c r="A1709" s="4">
        <v>1704</v>
      </c>
      <c r="B1709" s="3" t="str">
        <f>"00147237"</f>
        <v>00147237</v>
      </c>
    </row>
    <row r="1710" spans="1:2" x14ac:dyDescent="0.25">
      <c r="A1710" s="4">
        <v>1705</v>
      </c>
      <c r="B1710" s="3" t="str">
        <f>"00147318"</f>
        <v>00147318</v>
      </c>
    </row>
    <row r="1711" spans="1:2" x14ac:dyDescent="0.25">
      <c r="A1711" s="4">
        <v>1706</v>
      </c>
      <c r="B1711" s="3" t="str">
        <f>"00147378"</f>
        <v>00147378</v>
      </c>
    </row>
    <row r="1712" spans="1:2" x14ac:dyDescent="0.25">
      <c r="A1712" s="4">
        <v>1707</v>
      </c>
      <c r="B1712" s="3" t="str">
        <f>"00147736"</f>
        <v>00147736</v>
      </c>
    </row>
    <row r="1713" spans="1:2" x14ac:dyDescent="0.25">
      <c r="A1713" s="4">
        <v>1708</v>
      </c>
      <c r="B1713" s="3" t="str">
        <f>"00147812"</f>
        <v>00147812</v>
      </c>
    </row>
    <row r="1714" spans="1:2" x14ac:dyDescent="0.25">
      <c r="A1714" s="4">
        <v>1709</v>
      </c>
      <c r="B1714" s="3" t="str">
        <f>"00147821"</f>
        <v>00147821</v>
      </c>
    </row>
    <row r="1715" spans="1:2" x14ac:dyDescent="0.25">
      <c r="A1715" s="4">
        <v>1710</v>
      </c>
      <c r="B1715" s="3" t="str">
        <f>"00147834"</f>
        <v>00147834</v>
      </c>
    </row>
    <row r="1716" spans="1:2" x14ac:dyDescent="0.25">
      <c r="A1716" s="4">
        <v>1711</v>
      </c>
      <c r="B1716" s="3" t="str">
        <f>"00148244"</f>
        <v>00148244</v>
      </c>
    </row>
    <row r="1717" spans="1:2" x14ac:dyDescent="0.25">
      <c r="A1717" s="4">
        <v>1712</v>
      </c>
      <c r="B1717" s="3" t="str">
        <f>"00148315"</f>
        <v>00148315</v>
      </c>
    </row>
    <row r="1718" spans="1:2" x14ac:dyDescent="0.25">
      <c r="A1718" s="4">
        <v>1713</v>
      </c>
      <c r="B1718" s="3" t="str">
        <f>"00148333"</f>
        <v>00148333</v>
      </c>
    </row>
    <row r="1719" spans="1:2" x14ac:dyDescent="0.25">
      <c r="A1719" s="4">
        <v>1714</v>
      </c>
      <c r="B1719" s="3" t="str">
        <f>"00148345"</f>
        <v>00148345</v>
      </c>
    </row>
    <row r="1720" spans="1:2" x14ac:dyDescent="0.25">
      <c r="A1720" s="4">
        <v>1715</v>
      </c>
      <c r="B1720" s="3" t="str">
        <f>"00148354"</f>
        <v>00148354</v>
      </c>
    </row>
    <row r="1721" spans="1:2" x14ac:dyDescent="0.25">
      <c r="A1721" s="4">
        <v>1716</v>
      </c>
      <c r="B1721" s="3" t="str">
        <f>"00148361"</f>
        <v>00148361</v>
      </c>
    </row>
    <row r="1722" spans="1:2" x14ac:dyDescent="0.25">
      <c r="A1722" s="4">
        <v>1717</v>
      </c>
      <c r="B1722" s="3" t="str">
        <f>"00148518"</f>
        <v>00148518</v>
      </c>
    </row>
    <row r="1723" spans="1:2" x14ac:dyDescent="0.25">
      <c r="A1723" s="4">
        <v>1718</v>
      </c>
      <c r="B1723" s="3" t="str">
        <f>"00148576"</f>
        <v>00148576</v>
      </c>
    </row>
    <row r="1724" spans="1:2" x14ac:dyDescent="0.25">
      <c r="A1724" s="4">
        <v>1719</v>
      </c>
      <c r="B1724" s="3" t="str">
        <f>"00148698"</f>
        <v>00148698</v>
      </c>
    </row>
    <row r="1725" spans="1:2" x14ac:dyDescent="0.25">
      <c r="A1725" s="4">
        <v>1720</v>
      </c>
      <c r="B1725" s="3" t="str">
        <f>"00148739"</f>
        <v>00148739</v>
      </c>
    </row>
    <row r="1726" spans="1:2" x14ac:dyDescent="0.25">
      <c r="A1726" s="4">
        <v>1721</v>
      </c>
      <c r="B1726" s="3" t="str">
        <f>"00148764"</f>
        <v>00148764</v>
      </c>
    </row>
    <row r="1727" spans="1:2" x14ac:dyDescent="0.25">
      <c r="A1727" s="4">
        <v>1722</v>
      </c>
      <c r="B1727" s="3" t="str">
        <f>"00148938"</f>
        <v>00148938</v>
      </c>
    </row>
    <row r="1728" spans="1:2" x14ac:dyDescent="0.25">
      <c r="A1728" s="4">
        <v>1723</v>
      </c>
      <c r="B1728" s="3" t="str">
        <f>"00149007"</f>
        <v>00149007</v>
      </c>
    </row>
    <row r="1729" spans="1:2" x14ac:dyDescent="0.25">
      <c r="A1729" s="4">
        <v>1724</v>
      </c>
      <c r="B1729" s="3" t="str">
        <f>"00149122"</f>
        <v>00149122</v>
      </c>
    </row>
    <row r="1730" spans="1:2" x14ac:dyDescent="0.25">
      <c r="A1730" s="4">
        <v>1725</v>
      </c>
      <c r="B1730" s="3" t="str">
        <f>"00149134"</f>
        <v>00149134</v>
      </c>
    </row>
    <row r="1731" spans="1:2" x14ac:dyDescent="0.25">
      <c r="A1731" s="4">
        <v>1726</v>
      </c>
      <c r="B1731" s="3" t="str">
        <f>"00149171"</f>
        <v>00149171</v>
      </c>
    </row>
    <row r="1732" spans="1:2" x14ac:dyDescent="0.25">
      <c r="A1732" s="4">
        <v>1727</v>
      </c>
      <c r="B1732" s="3" t="str">
        <f>"00149197"</f>
        <v>00149197</v>
      </c>
    </row>
    <row r="1733" spans="1:2" x14ac:dyDescent="0.25">
      <c r="A1733" s="4">
        <v>1728</v>
      </c>
      <c r="B1733" s="3" t="str">
        <f>"00149207"</f>
        <v>00149207</v>
      </c>
    </row>
    <row r="1734" spans="1:2" x14ac:dyDescent="0.25">
      <c r="A1734" s="4">
        <v>1729</v>
      </c>
      <c r="B1734" s="3" t="str">
        <f>"00149311"</f>
        <v>00149311</v>
      </c>
    </row>
    <row r="1735" spans="1:2" x14ac:dyDescent="0.25">
      <c r="A1735" s="4">
        <v>1730</v>
      </c>
      <c r="B1735" s="3" t="str">
        <f>"00149344"</f>
        <v>00149344</v>
      </c>
    </row>
    <row r="1736" spans="1:2" x14ac:dyDescent="0.25">
      <c r="A1736" s="4">
        <v>1731</v>
      </c>
      <c r="B1736" s="3" t="str">
        <f>"00149528"</f>
        <v>00149528</v>
      </c>
    </row>
    <row r="1737" spans="1:2" x14ac:dyDescent="0.25">
      <c r="A1737" s="4">
        <v>1732</v>
      </c>
      <c r="B1737" s="3" t="str">
        <f>"00149599"</f>
        <v>00149599</v>
      </c>
    </row>
    <row r="1738" spans="1:2" x14ac:dyDescent="0.25">
      <c r="A1738" s="4">
        <v>1733</v>
      </c>
      <c r="B1738" s="3" t="str">
        <f>"00149634"</f>
        <v>00149634</v>
      </c>
    </row>
    <row r="1739" spans="1:2" x14ac:dyDescent="0.25">
      <c r="A1739" s="4">
        <v>1734</v>
      </c>
      <c r="B1739" s="3" t="str">
        <f>"00149635"</f>
        <v>00149635</v>
      </c>
    </row>
    <row r="1740" spans="1:2" x14ac:dyDescent="0.25">
      <c r="A1740" s="4">
        <v>1735</v>
      </c>
      <c r="B1740" s="3" t="str">
        <f>"00149732"</f>
        <v>00149732</v>
      </c>
    </row>
    <row r="1741" spans="1:2" x14ac:dyDescent="0.25">
      <c r="A1741" s="4">
        <v>1736</v>
      </c>
      <c r="B1741" s="3" t="str">
        <f>"00149792"</f>
        <v>00149792</v>
      </c>
    </row>
    <row r="1742" spans="1:2" x14ac:dyDescent="0.25">
      <c r="A1742" s="4">
        <v>1737</v>
      </c>
      <c r="B1742" s="3" t="str">
        <f>"00149828"</f>
        <v>00149828</v>
      </c>
    </row>
    <row r="1743" spans="1:2" x14ac:dyDescent="0.25">
      <c r="A1743" s="4">
        <v>1738</v>
      </c>
      <c r="B1743" s="3" t="str">
        <f>"00149937"</f>
        <v>00149937</v>
      </c>
    </row>
    <row r="1744" spans="1:2" x14ac:dyDescent="0.25">
      <c r="A1744" s="4">
        <v>1739</v>
      </c>
      <c r="B1744" s="3" t="str">
        <f>"00149955"</f>
        <v>00149955</v>
      </c>
    </row>
    <row r="1745" spans="1:2" x14ac:dyDescent="0.25">
      <c r="A1745" s="4">
        <v>1740</v>
      </c>
      <c r="B1745" s="3" t="str">
        <f>"00149994"</f>
        <v>00149994</v>
      </c>
    </row>
    <row r="1746" spans="1:2" x14ac:dyDescent="0.25">
      <c r="A1746" s="4">
        <v>1741</v>
      </c>
      <c r="B1746" s="3" t="str">
        <f>"00150013"</f>
        <v>00150013</v>
      </c>
    </row>
    <row r="1747" spans="1:2" x14ac:dyDescent="0.25">
      <c r="A1747" s="4">
        <v>1742</v>
      </c>
      <c r="B1747" s="3" t="str">
        <f>"00150138"</f>
        <v>00150138</v>
      </c>
    </row>
    <row r="1748" spans="1:2" x14ac:dyDescent="0.25">
      <c r="A1748" s="4">
        <v>1743</v>
      </c>
      <c r="B1748" s="3" t="str">
        <f>"00150243"</f>
        <v>00150243</v>
      </c>
    </row>
    <row r="1749" spans="1:2" x14ac:dyDescent="0.25">
      <c r="A1749" s="4">
        <v>1744</v>
      </c>
      <c r="B1749" s="3" t="str">
        <f>"00150325"</f>
        <v>00150325</v>
      </c>
    </row>
    <row r="1750" spans="1:2" x14ac:dyDescent="0.25">
      <c r="A1750" s="4">
        <v>1745</v>
      </c>
      <c r="B1750" s="3" t="str">
        <f>"00150354"</f>
        <v>00150354</v>
      </c>
    </row>
    <row r="1751" spans="1:2" x14ac:dyDescent="0.25">
      <c r="A1751" s="4">
        <v>1746</v>
      </c>
      <c r="B1751" s="3" t="str">
        <f>"00150503"</f>
        <v>00150503</v>
      </c>
    </row>
    <row r="1752" spans="1:2" x14ac:dyDescent="0.25">
      <c r="A1752" s="4">
        <v>1747</v>
      </c>
      <c r="B1752" s="3" t="str">
        <f>"00150587"</f>
        <v>00150587</v>
      </c>
    </row>
    <row r="1753" spans="1:2" x14ac:dyDescent="0.25">
      <c r="A1753" s="4">
        <v>1748</v>
      </c>
      <c r="B1753" s="3" t="str">
        <f>"00150669"</f>
        <v>00150669</v>
      </c>
    </row>
    <row r="1754" spans="1:2" x14ac:dyDescent="0.25">
      <c r="A1754" s="4">
        <v>1749</v>
      </c>
      <c r="B1754" s="3" t="str">
        <f>"00150841"</f>
        <v>00150841</v>
      </c>
    </row>
    <row r="1755" spans="1:2" x14ac:dyDescent="0.25">
      <c r="A1755" s="4">
        <v>1750</v>
      </c>
      <c r="B1755" s="3" t="str">
        <f>"00150881"</f>
        <v>00150881</v>
      </c>
    </row>
    <row r="1756" spans="1:2" x14ac:dyDescent="0.25">
      <c r="A1756" s="4">
        <v>1751</v>
      </c>
      <c r="B1756" s="3" t="str">
        <f>"00150965"</f>
        <v>00150965</v>
      </c>
    </row>
    <row r="1757" spans="1:2" x14ac:dyDescent="0.25">
      <c r="A1757" s="4">
        <v>1752</v>
      </c>
      <c r="B1757" s="3" t="str">
        <f>"00150972"</f>
        <v>00150972</v>
      </c>
    </row>
    <row r="1758" spans="1:2" x14ac:dyDescent="0.25">
      <c r="A1758" s="4">
        <v>1753</v>
      </c>
      <c r="B1758" s="3" t="str">
        <f>"00151006"</f>
        <v>00151006</v>
      </c>
    </row>
    <row r="1759" spans="1:2" x14ac:dyDescent="0.25">
      <c r="A1759" s="4">
        <v>1754</v>
      </c>
      <c r="B1759" s="3" t="str">
        <f>"00151324"</f>
        <v>00151324</v>
      </c>
    </row>
    <row r="1760" spans="1:2" x14ac:dyDescent="0.25">
      <c r="A1760" s="4">
        <v>1755</v>
      </c>
      <c r="B1760" s="3" t="str">
        <f>"00151356"</f>
        <v>00151356</v>
      </c>
    </row>
    <row r="1761" spans="1:2" x14ac:dyDescent="0.25">
      <c r="A1761" s="4">
        <v>1756</v>
      </c>
      <c r="B1761" s="3" t="str">
        <f>"00151370"</f>
        <v>00151370</v>
      </c>
    </row>
    <row r="1762" spans="1:2" x14ac:dyDescent="0.25">
      <c r="A1762" s="4">
        <v>1757</v>
      </c>
      <c r="B1762" s="3" t="str">
        <f>"00151384"</f>
        <v>00151384</v>
      </c>
    </row>
    <row r="1763" spans="1:2" x14ac:dyDescent="0.25">
      <c r="A1763" s="4">
        <v>1758</v>
      </c>
      <c r="B1763" s="3" t="str">
        <f>"00151470"</f>
        <v>00151470</v>
      </c>
    </row>
    <row r="1764" spans="1:2" x14ac:dyDescent="0.25">
      <c r="A1764" s="4">
        <v>1759</v>
      </c>
      <c r="B1764" s="3" t="str">
        <f>"00151584"</f>
        <v>00151584</v>
      </c>
    </row>
    <row r="1765" spans="1:2" x14ac:dyDescent="0.25">
      <c r="A1765" s="4">
        <v>1760</v>
      </c>
      <c r="B1765" s="3" t="str">
        <f>"00151664"</f>
        <v>00151664</v>
      </c>
    </row>
    <row r="1766" spans="1:2" x14ac:dyDescent="0.25">
      <c r="A1766" s="4">
        <v>1761</v>
      </c>
      <c r="B1766" s="3" t="str">
        <f>"00151762"</f>
        <v>00151762</v>
      </c>
    </row>
    <row r="1767" spans="1:2" x14ac:dyDescent="0.25">
      <c r="A1767" s="4">
        <v>1762</v>
      </c>
      <c r="B1767" s="3" t="str">
        <f>"00151765"</f>
        <v>00151765</v>
      </c>
    </row>
    <row r="1768" spans="1:2" x14ac:dyDescent="0.25">
      <c r="A1768" s="4">
        <v>1763</v>
      </c>
      <c r="B1768" s="3" t="str">
        <f>"00151850"</f>
        <v>00151850</v>
      </c>
    </row>
    <row r="1769" spans="1:2" x14ac:dyDescent="0.25">
      <c r="A1769" s="4">
        <v>1764</v>
      </c>
      <c r="B1769" s="3" t="str">
        <f>"00151897"</f>
        <v>00151897</v>
      </c>
    </row>
    <row r="1770" spans="1:2" x14ac:dyDescent="0.25">
      <c r="A1770" s="4">
        <v>1765</v>
      </c>
      <c r="B1770" s="3" t="str">
        <f>"00152208"</f>
        <v>00152208</v>
      </c>
    </row>
    <row r="1771" spans="1:2" x14ac:dyDescent="0.25">
      <c r="A1771" s="4">
        <v>1766</v>
      </c>
      <c r="B1771" s="3" t="str">
        <f>"00152316"</f>
        <v>00152316</v>
      </c>
    </row>
    <row r="1772" spans="1:2" x14ac:dyDescent="0.25">
      <c r="A1772" s="4">
        <v>1767</v>
      </c>
      <c r="B1772" s="3" t="str">
        <f>"00152360"</f>
        <v>00152360</v>
      </c>
    </row>
    <row r="1773" spans="1:2" x14ac:dyDescent="0.25">
      <c r="A1773" s="4">
        <v>1768</v>
      </c>
      <c r="B1773" s="3" t="str">
        <f>"00152364"</f>
        <v>00152364</v>
      </c>
    </row>
    <row r="1774" spans="1:2" x14ac:dyDescent="0.25">
      <c r="A1774" s="4">
        <v>1769</v>
      </c>
      <c r="B1774" s="3" t="str">
        <f>"00152493"</f>
        <v>00152493</v>
      </c>
    </row>
    <row r="1775" spans="1:2" x14ac:dyDescent="0.25">
      <c r="A1775" s="4">
        <v>1770</v>
      </c>
      <c r="B1775" s="3" t="str">
        <f>"00152498"</f>
        <v>00152498</v>
      </c>
    </row>
    <row r="1776" spans="1:2" x14ac:dyDescent="0.25">
      <c r="A1776" s="4">
        <v>1771</v>
      </c>
      <c r="B1776" s="3" t="str">
        <f>"00152536"</f>
        <v>00152536</v>
      </c>
    </row>
    <row r="1777" spans="1:2" x14ac:dyDescent="0.25">
      <c r="A1777" s="4">
        <v>1772</v>
      </c>
      <c r="B1777" s="3" t="str">
        <f>"00152559"</f>
        <v>00152559</v>
      </c>
    </row>
    <row r="1778" spans="1:2" x14ac:dyDescent="0.25">
      <c r="A1778" s="4">
        <v>1773</v>
      </c>
      <c r="B1778" s="3" t="str">
        <f>"00152580"</f>
        <v>00152580</v>
      </c>
    </row>
    <row r="1779" spans="1:2" x14ac:dyDescent="0.25">
      <c r="A1779" s="4">
        <v>1774</v>
      </c>
      <c r="B1779" s="3" t="str">
        <f>"00152637"</f>
        <v>00152637</v>
      </c>
    </row>
    <row r="1780" spans="1:2" x14ac:dyDescent="0.25">
      <c r="A1780" s="4">
        <v>1775</v>
      </c>
      <c r="B1780" s="3" t="str">
        <f>"00152680"</f>
        <v>00152680</v>
      </c>
    </row>
    <row r="1781" spans="1:2" x14ac:dyDescent="0.25">
      <c r="A1781" s="4">
        <v>1776</v>
      </c>
      <c r="B1781" s="3" t="str">
        <f>"00152718"</f>
        <v>00152718</v>
      </c>
    </row>
    <row r="1782" spans="1:2" x14ac:dyDescent="0.25">
      <c r="A1782" s="4">
        <v>1777</v>
      </c>
      <c r="B1782" s="3" t="str">
        <f>"00152744"</f>
        <v>00152744</v>
      </c>
    </row>
    <row r="1783" spans="1:2" x14ac:dyDescent="0.25">
      <c r="A1783" s="4">
        <v>1778</v>
      </c>
      <c r="B1783" s="3" t="str">
        <f>"00152776"</f>
        <v>00152776</v>
      </c>
    </row>
    <row r="1784" spans="1:2" x14ac:dyDescent="0.25">
      <c r="A1784" s="4">
        <v>1779</v>
      </c>
      <c r="B1784" s="3" t="str">
        <f>"00152813"</f>
        <v>00152813</v>
      </c>
    </row>
    <row r="1785" spans="1:2" x14ac:dyDescent="0.25">
      <c r="A1785" s="4">
        <v>1780</v>
      </c>
      <c r="B1785" s="3" t="str">
        <f>"00152893"</f>
        <v>00152893</v>
      </c>
    </row>
    <row r="1786" spans="1:2" x14ac:dyDescent="0.25">
      <c r="A1786" s="4">
        <v>1781</v>
      </c>
      <c r="B1786" s="3" t="str">
        <f>"00152996"</f>
        <v>00152996</v>
      </c>
    </row>
    <row r="1787" spans="1:2" x14ac:dyDescent="0.25">
      <c r="A1787" s="4">
        <v>1782</v>
      </c>
      <c r="B1787" s="3" t="str">
        <f>"00153106"</f>
        <v>00153106</v>
      </c>
    </row>
    <row r="1788" spans="1:2" x14ac:dyDescent="0.25">
      <c r="A1788" s="4">
        <v>1783</v>
      </c>
      <c r="B1788" s="3" t="str">
        <f>"00153141"</f>
        <v>00153141</v>
      </c>
    </row>
    <row r="1789" spans="1:2" x14ac:dyDescent="0.25">
      <c r="A1789" s="4">
        <v>1784</v>
      </c>
      <c r="B1789" s="3" t="str">
        <f>"00153146"</f>
        <v>00153146</v>
      </c>
    </row>
    <row r="1790" spans="1:2" x14ac:dyDescent="0.25">
      <c r="A1790" s="4">
        <v>1785</v>
      </c>
      <c r="B1790" s="3" t="str">
        <f>"00153262"</f>
        <v>00153262</v>
      </c>
    </row>
    <row r="1791" spans="1:2" x14ac:dyDescent="0.25">
      <c r="A1791" s="4">
        <v>1786</v>
      </c>
      <c r="B1791" s="3" t="str">
        <f>"00153345"</f>
        <v>00153345</v>
      </c>
    </row>
    <row r="1792" spans="1:2" x14ac:dyDescent="0.25">
      <c r="A1792" s="4">
        <v>1787</v>
      </c>
      <c r="B1792" s="3" t="str">
        <f>"00153439"</f>
        <v>00153439</v>
      </c>
    </row>
    <row r="1793" spans="1:2" x14ac:dyDescent="0.25">
      <c r="A1793" s="4">
        <v>1788</v>
      </c>
      <c r="B1793" s="3" t="str">
        <f>"00153562"</f>
        <v>00153562</v>
      </c>
    </row>
    <row r="1794" spans="1:2" x14ac:dyDescent="0.25">
      <c r="A1794" s="4">
        <v>1789</v>
      </c>
      <c r="B1794" s="3" t="str">
        <f>"00153625"</f>
        <v>00153625</v>
      </c>
    </row>
    <row r="1795" spans="1:2" x14ac:dyDescent="0.25">
      <c r="A1795" s="4">
        <v>1790</v>
      </c>
      <c r="B1795" s="3" t="str">
        <f>"00153826"</f>
        <v>00153826</v>
      </c>
    </row>
    <row r="1796" spans="1:2" x14ac:dyDescent="0.25">
      <c r="A1796" s="4">
        <v>1791</v>
      </c>
      <c r="B1796" s="3" t="str">
        <f>"00153930"</f>
        <v>00153930</v>
      </c>
    </row>
    <row r="1797" spans="1:2" x14ac:dyDescent="0.25">
      <c r="A1797" s="4">
        <v>1792</v>
      </c>
      <c r="B1797" s="3" t="str">
        <f>"00154069"</f>
        <v>00154069</v>
      </c>
    </row>
    <row r="1798" spans="1:2" x14ac:dyDescent="0.25">
      <c r="A1798" s="4">
        <v>1793</v>
      </c>
      <c r="B1798" s="3" t="str">
        <f>"00154328"</f>
        <v>00154328</v>
      </c>
    </row>
    <row r="1799" spans="1:2" x14ac:dyDescent="0.25">
      <c r="A1799" s="4">
        <v>1794</v>
      </c>
      <c r="B1799" s="3" t="str">
        <f>"00154377"</f>
        <v>00154377</v>
      </c>
    </row>
    <row r="1800" spans="1:2" x14ac:dyDescent="0.25">
      <c r="A1800" s="4">
        <v>1795</v>
      </c>
      <c r="B1800" s="3" t="str">
        <f>"00154427"</f>
        <v>00154427</v>
      </c>
    </row>
    <row r="1801" spans="1:2" x14ac:dyDescent="0.25">
      <c r="A1801" s="4">
        <v>1796</v>
      </c>
      <c r="B1801" s="3" t="str">
        <f>"00154508"</f>
        <v>00154508</v>
      </c>
    </row>
    <row r="1802" spans="1:2" x14ac:dyDescent="0.25">
      <c r="A1802" s="4">
        <v>1797</v>
      </c>
      <c r="B1802" s="3" t="str">
        <f>"00154689"</f>
        <v>00154689</v>
      </c>
    </row>
    <row r="1803" spans="1:2" x14ac:dyDescent="0.25">
      <c r="A1803" s="4">
        <v>1798</v>
      </c>
      <c r="B1803" s="3" t="str">
        <f>"00154926"</f>
        <v>00154926</v>
      </c>
    </row>
    <row r="1804" spans="1:2" x14ac:dyDescent="0.25">
      <c r="A1804" s="4">
        <v>1799</v>
      </c>
      <c r="B1804" s="3" t="str">
        <f>"00155017"</f>
        <v>00155017</v>
      </c>
    </row>
    <row r="1805" spans="1:2" x14ac:dyDescent="0.25">
      <c r="A1805" s="4">
        <v>1800</v>
      </c>
      <c r="B1805" s="3" t="str">
        <f>"00155047"</f>
        <v>00155047</v>
      </c>
    </row>
    <row r="1806" spans="1:2" x14ac:dyDescent="0.25">
      <c r="A1806" s="4">
        <v>1801</v>
      </c>
      <c r="B1806" s="3" t="str">
        <f>"00155052"</f>
        <v>00155052</v>
      </c>
    </row>
    <row r="1807" spans="1:2" x14ac:dyDescent="0.25">
      <c r="A1807" s="4">
        <v>1802</v>
      </c>
      <c r="B1807" s="3" t="str">
        <f>"00155226"</f>
        <v>00155226</v>
      </c>
    </row>
    <row r="1808" spans="1:2" x14ac:dyDescent="0.25">
      <c r="A1808" s="4">
        <v>1803</v>
      </c>
      <c r="B1808" s="3" t="str">
        <f>"00155352"</f>
        <v>00155352</v>
      </c>
    </row>
    <row r="1809" spans="1:2" x14ac:dyDescent="0.25">
      <c r="A1809" s="4">
        <v>1804</v>
      </c>
      <c r="B1809" s="3" t="str">
        <f>"00155357"</f>
        <v>00155357</v>
      </c>
    </row>
    <row r="1810" spans="1:2" x14ac:dyDescent="0.25">
      <c r="A1810" s="4">
        <v>1805</v>
      </c>
      <c r="B1810" s="3" t="str">
        <f>"00155538"</f>
        <v>00155538</v>
      </c>
    </row>
    <row r="1811" spans="1:2" x14ac:dyDescent="0.25">
      <c r="A1811" s="4">
        <v>1806</v>
      </c>
      <c r="B1811" s="3" t="str">
        <f>"00155542"</f>
        <v>00155542</v>
      </c>
    </row>
    <row r="1812" spans="1:2" x14ac:dyDescent="0.25">
      <c r="A1812" s="4">
        <v>1807</v>
      </c>
      <c r="B1812" s="3" t="str">
        <f>"00155660"</f>
        <v>00155660</v>
      </c>
    </row>
    <row r="1813" spans="1:2" x14ac:dyDescent="0.25">
      <c r="A1813" s="4">
        <v>1808</v>
      </c>
      <c r="B1813" s="3" t="str">
        <f>"00155953"</f>
        <v>00155953</v>
      </c>
    </row>
    <row r="1814" spans="1:2" x14ac:dyDescent="0.25">
      <c r="A1814" s="4">
        <v>1809</v>
      </c>
      <c r="B1814" s="3" t="str">
        <f>"00156054"</f>
        <v>00156054</v>
      </c>
    </row>
    <row r="1815" spans="1:2" x14ac:dyDescent="0.25">
      <c r="A1815" s="4">
        <v>1810</v>
      </c>
      <c r="B1815" s="3" t="str">
        <f>"00156115"</f>
        <v>00156115</v>
      </c>
    </row>
    <row r="1816" spans="1:2" x14ac:dyDescent="0.25">
      <c r="A1816" s="4">
        <v>1811</v>
      </c>
      <c r="B1816" s="3" t="str">
        <f>"00156165"</f>
        <v>00156165</v>
      </c>
    </row>
    <row r="1817" spans="1:2" x14ac:dyDescent="0.25">
      <c r="A1817" s="4">
        <v>1812</v>
      </c>
      <c r="B1817" s="3" t="str">
        <f>"00156519"</f>
        <v>00156519</v>
      </c>
    </row>
    <row r="1818" spans="1:2" x14ac:dyDescent="0.25">
      <c r="A1818" s="4">
        <v>1813</v>
      </c>
      <c r="B1818" s="3" t="str">
        <f>"00156767"</f>
        <v>00156767</v>
      </c>
    </row>
    <row r="1819" spans="1:2" x14ac:dyDescent="0.25">
      <c r="A1819" s="4">
        <v>1814</v>
      </c>
      <c r="B1819" s="3" t="str">
        <f>"00156799"</f>
        <v>00156799</v>
      </c>
    </row>
    <row r="1820" spans="1:2" x14ac:dyDescent="0.25">
      <c r="A1820" s="4">
        <v>1815</v>
      </c>
      <c r="B1820" s="3" t="str">
        <f>"00156803"</f>
        <v>00156803</v>
      </c>
    </row>
    <row r="1821" spans="1:2" x14ac:dyDescent="0.25">
      <c r="A1821" s="4">
        <v>1816</v>
      </c>
      <c r="B1821" s="3" t="str">
        <f>"00156819"</f>
        <v>00156819</v>
      </c>
    </row>
    <row r="1822" spans="1:2" x14ac:dyDescent="0.25">
      <c r="A1822" s="4">
        <v>1817</v>
      </c>
      <c r="B1822" s="3" t="str">
        <f>"00156838"</f>
        <v>00156838</v>
      </c>
    </row>
    <row r="1823" spans="1:2" x14ac:dyDescent="0.25">
      <c r="A1823" s="4">
        <v>1818</v>
      </c>
      <c r="B1823" s="3" t="str">
        <f>"00156914"</f>
        <v>00156914</v>
      </c>
    </row>
    <row r="1824" spans="1:2" x14ac:dyDescent="0.25">
      <c r="A1824" s="4">
        <v>1819</v>
      </c>
      <c r="B1824" s="3" t="str">
        <f>"00156917"</f>
        <v>00156917</v>
      </c>
    </row>
    <row r="1825" spans="1:2" x14ac:dyDescent="0.25">
      <c r="A1825" s="4">
        <v>1820</v>
      </c>
      <c r="B1825" s="3" t="str">
        <f>"00156923"</f>
        <v>00156923</v>
      </c>
    </row>
    <row r="1826" spans="1:2" x14ac:dyDescent="0.25">
      <c r="A1826" s="4">
        <v>1821</v>
      </c>
      <c r="B1826" s="3" t="str">
        <f>"00156932"</f>
        <v>00156932</v>
      </c>
    </row>
    <row r="1827" spans="1:2" x14ac:dyDescent="0.25">
      <c r="A1827" s="4">
        <v>1822</v>
      </c>
      <c r="B1827" s="3" t="str">
        <f>"00156961"</f>
        <v>00156961</v>
      </c>
    </row>
    <row r="1828" spans="1:2" x14ac:dyDescent="0.25">
      <c r="A1828" s="4">
        <v>1823</v>
      </c>
      <c r="B1828" s="3" t="str">
        <f>"00156967"</f>
        <v>00156967</v>
      </c>
    </row>
    <row r="1829" spans="1:2" x14ac:dyDescent="0.25">
      <c r="A1829" s="4">
        <v>1824</v>
      </c>
      <c r="B1829" s="3" t="str">
        <f>"00157073"</f>
        <v>00157073</v>
      </c>
    </row>
    <row r="1830" spans="1:2" x14ac:dyDescent="0.25">
      <c r="A1830" s="4">
        <v>1825</v>
      </c>
      <c r="B1830" s="3" t="str">
        <f>"00157082"</f>
        <v>00157082</v>
      </c>
    </row>
    <row r="1831" spans="1:2" x14ac:dyDescent="0.25">
      <c r="A1831" s="4">
        <v>1826</v>
      </c>
      <c r="B1831" s="3" t="str">
        <f>"00157201"</f>
        <v>00157201</v>
      </c>
    </row>
    <row r="1832" spans="1:2" x14ac:dyDescent="0.25">
      <c r="A1832" s="4">
        <v>1827</v>
      </c>
      <c r="B1832" s="3" t="str">
        <f>"00157206"</f>
        <v>00157206</v>
      </c>
    </row>
    <row r="1833" spans="1:2" x14ac:dyDescent="0.25">
      <c r="A1833" s="4">
        <v>1828</v>
      </c>
      <c r="B1833" s="3" t="str">
        <f>"00157208"</f>
        <v>00157208</v>
      </c>
    </row>
    <row r="1834" spans="1:2" x14ac:dyDescent="0.25">
      <c r="A1834" s="4">
        <v>1829</v>
      </c>
      <c r="B1834" s="3" t="str">
        <f>"00157249"</f>
        <v>00157249</v>
      </c>
    </row>
    <row r="1835" spans="1:2" x14ac:dyDescent="0.25">
      <c r="A1835" s="4">
        <v>1830</v>
      </c>
      <c r="B1835" s="3" t="str">
        <f>"00157318"</f>
        <v>00157318</v>
      </c>
    </row>
    <row r="1836" spans="1:2" x14ac:dyDescent="0.25">
      <c r="A1836" s="4">
        <v>1831</v>
      </c>
      <c r="B1836" s="3" t="str">
        <f>"00157367"</f>
        <v>00157367</v>
      </c>
    </row>
    <row r="1837" spans="1:2" x14ac:dyDescent="0.25">
      <c r="A1837" s="4">
        <v>1832</v>
      </c>
      <c r="B1837" s="3" t="str">
        <f>"00157530"</f>
        <v>00157530</v>
      </c>
    </row>
    <row r="1838" spans="1:2" x14ac:dyDescent="0.25">
      <c r="A1838" s="4">
        <v>1833</v>
      </c>
      <c r="B1838" s="3" t="str">
        <f>"00157582"</f>
        <v>00157582</v>
      </c>
    </row>
    <row r="1839" spans="1:2" x14ac:dyDescent="0.25">
      <c r="A1839" s="4">
        <v>1834</v>
      </c>
      <c r="B1839" s="3" t="str">
        <f>"00157638"</f>
        <v>00157638</v>
      </c>
    </row>
    <row r="1840" spans="1:2" x14ac:dyDescent="0.25">
      <c r="A1840" s="4">
        <v>1835</v>
      </c>
      <c r="B1840" s="3" t="str">
        <f>"00157789"</f>
        <v>00157789</v>
      </c>
    </row>
    <row r="1841" spans="1:2" x14ac:dyDescent="0.25">
      <c r="A1841" s="4">
        <v>1836</v>
      </c>
      <c r="B1841" s="3" t="str">
        <f>"00157831"</f>
        <v>00157831</v>
      </c>
    </row>
    <row r="1842" spans="1:2" x14ac:dyDescent="0.25">
      <c r="A1842" s="4">
        <v>1837</v>
      </c>
      <c r="B1842" s="3" t="str">
        <f>"00158418"</f>
        <v>00158418</v>
      </c>
    </row>
    <row r="1843" spans="1:2" x14ac:dyDescent="0.25">
      <c r="A1843" s="4">
        <v>1838</v>
      </c>
      <c r="B1843" s="3" t="str">
        <f>"00158616"</f>
        <v>00158616</v>
      </c>
    </row>
    <row r="1844" spans="1:2" x14ac:dyDescent="0.25">
      <c r="A1844" s="4">
        <v>1839</v>
      </c>
      <c r="B1844" s="3" t="str">
        <f>"00158821"</f>
        <v>00158821</v>
      </c>
    </row>
    <row r="1845" spans="1:2" x14ac:dyDescent="0.25">
      <c r="A1845" s="4">
        <v>1840</v>
      </c>
      <c r="B1845" s="3" t="str">
        <f>"00158824"</f>
        <v>00158824</v>
      </c>
    </row>
    <row r="1846" spans="1:2" x14ac:dyDescent="0.25">
      <c r="A1846" s="4">
        <v>1841</v>
      </c>
      <c r="B1846" s="3" t="str">
        <f>"00158983"</f>
        <v>00158983</v>
      </c>
    </row>
    <row r="1847" spans="1:2" x14ac:dyDescent="0.25">
      <c r="A1847" s="4">
        <v>1842</v>
      </c>
      <c r="B1847" s="3" t="str">
        <f>"00159062"</f>
        <v>00159062</v>
      </c>
    </row>
    <row r="1848" spans="1:2" x14ac:dyDescent="0.25">
      <c r="A1848" s="4">
        <v>1843</v>
      </c>
      <c r="B1848" s="3" t="str">
        <f>"00159748"</f>
        <v>00159748</v>
      </c>
    </row>
    <row r="1849" spans="1:2" x14ac:dyDescent="0.25">
      <c r="A1849" s="4">
        <v>1844</v>
      </c>
      <c r="B1849" s="3" t="str">
        <f>"00159839"</f>
        <v>00159839</v>
      </c>
    </row>
    <row r="1850" spans="1:2" x14ac:dyDescent="0.25">
      <c r="A1850" s="4">
        <v>1845</v>
      </c>
      <c r="B1850" s="3" t="str">
        <f>"00159900"</f>
        <v>00159900</v>
      </c>
    </row>
    <row r="1851" spans="1:2" x14ac:dyDescent="0.25">
      <c r="A1851" s="4">
        <v>1846</v>
      </c>
      <c r="B1851" s="3" t="str">
        <f>"00160025"</f>
        <v>00160025</v>
      </c>
    </row>
    <row r="1852" spans="1:2" x14ac:dyDescent="0.25">
      <c r="A1852" s="4">
        <v>1847</v>
      </c>
      <c r="B1852" s="3" t="str">
        <f>"00160039"</f>
        <v>00160039</v>
      </c>
    </row>
    <row r="1853" spans="1:2" x14ac:dyDescent="0.25">
      <c r="A1853" s="4">
        <v>1848</v>
      </c>
      <c r="B1853" s="3" t="str">
        <f>"00160254"</f>
        <v>00160254</v>
      </c>
    </row>
    <row r="1854" spans="1:2" x14ac:dyDescent="0.25">
      <c r="A1854" s="4">
        <v>1849</v>
      </c>
      <c r="B1854" s="3" t="str">
        <f>"00160270"</f>
        <v>00160270</v>
      </c>
    </row>
    <row r="1855" spans="1:2" x14ac:dyDescent="0.25">
      <c r="A1855" s="4">
        <v>1850</v>
      </c>
      <c r="B1855" s="3" t="str">
        <f>"00160345"</f>
        <v>00160345</v>
      </c>
    </row>
    <row r="1856" spans="1:2" x14ac:dyDescent="0.25">
      <c r="A1856" s="4">
        <v>1851</v>
      </c>
      <c r="B1856" s="3" t="str">
        <f>"00160488"</f>
        <v>00160488</v>
      </c>
    </row>
    <row r="1857" spans="1:2" x14ac:dyDescent="0.25">
      <c r="A1857" s="4">
        <v>1852</v>
      </c>
      <c r="B1857" s="3" t="str">
        <f>"00160506"</f>
        <v>00160506</v>
      </c>
    </row>
    <row r="1858" spans="1:2" x14ac:dyDescent="0.25">
      <c r="A1858" s="4">
        <v>1853</v>
      </c>
      <c r="B1858" s="3" t="str">
        <f>"00160625"</f>
        <v>00160625</v>
      </c>
    </row>
    <row r="1859" spans="1:2" x14ac:dyDescent="0.25">
      <c r="A1859" s="4">
        <v>1854</v>
      </c>
      <c r="B1859" s="3" t="str">
        <f>"00160896"</f>
        <v>00160896</v>
      </c>
    </row>
    <row r="1860" spans="1:2" x14ac:dyDescent="0.25">
      <c r="A1860" s="4">
        <v>1855</v>
      </c>
      <c r="B1860" s="3" t="str">
        <f>"00161001"</f>
        <v>00161001</v>
      </c>
    </row>
    <row r="1861" spans="1:2" x14ac:dyDescent="0.25">
      <c r="A1861" s="4">
        <v>1856</v>
      </c>
      <c r="B1861" s="3" t="str">
        <f>"00161013"</f>
        <v>00161013</v>
      </c>
    </row>
    <row r="1862" spans="1:2" x14ac:dyDescent="0.25">
      <c r="A1862" s="4">
        <v>1857</v>
      </c>
      <c r="B1862" s="3" t="str">
        <f>"00161053"</f>
        <v>00161053</v>
      </c>
    </row>
    <row r="1863" spans="1:2" x14ac:dyDescent="0.25">
      <c r="A1863" s="4">
        <v>1858</v>
      </c>
      <c r="B1863" s="3" t="str">
        <f>"00161072"</f>
        <v>00161072</v>
      </c>
    </row>
    <row r="1864" spans="1:2" x14ac:dyDescent="0.25">
      <c r="A1864" s="4">
        <v>1859</v>
      </c>
      <c r="B1864" s="3" t="str">
        <f>"00161111"</f>
        <v>00161111</v>
      </c>
    </row>
    <row r="1865" spans="1:2" x14ac:dyDescent="0.25">
      <c r="A1865" s="4">
        <v>1860</v>
      </c>
      <c r="B1865" s="3" t="str">
        <f>"00161153"</f>
        <v>00161153</v>
      </c>
    </row>
    <row r="1866" spans="1:2" x14ac:dyDescent="0.25">
      <c r="A1866" s="4">
        <v>1861</v>
      </c>
      <c r="B1866" s="3" t="str">
        <f>"00161205"</f>
        <v>00161205</v>
      </c>
    </row>
    <row r="1867" spans="1:2" x14ac:dyDescent="0.25">
      <c r="A1867" s="4">
        <v>1862</v>
      </c>
      <c r="B1867" s="3" t="str">
        <f>"00161276"</f>
        <v>00161276</v>
      </c>
    </row>
    <row r="1868" spans="1:2" x14ac:dyDescent="0.25">
      <c r="A1868" s="4">
        <v>1863</v>
      </c>
      <c r="B1868" s="3" t="str">
        <f>"00161281"</f>
        <v>00161281</v>
      </c>
    </row>
    <row r="1869" spans="1:2" x14ac:dyDescent="0.25">
      <c r="A1869" s="4">
        <v>1864</v>
      </c>
      <c r="B1869" s="3" t="str">
        <f>"00161298"</f>
        <v>00161298</v>
      </c>
    </row>
    <row r="1870" spans="1:2" x14ac:dyDescent="0.25">
      <c r="A1870" s="4">
        <v>1865</v>
      </c>
      <c r="B1870" s="3" t="str">
        <f>"00161325"</f>
        <v>00161325</v>
      </c>
    </row>
    <row r="1871" spans="1:2" x14ac:dyDescent="0.25">
      <c r="A1871" s="4">
        <v>1866</v>
      </c>
      <c r="B1871" s="3" t="str">
        <f>"00161410"</f>
        <v>00161410</v>
      </c>
    </row>
    <row r="1872" spans="1:2" x14ac:dyDescent="0.25">
      <c r="A1872" s="4">
        <v>1867</v>
      </c>
      <c r="B1872" s="3" t="str">
        <f>"00161465"</f>
        <v>00161465</v>
      </c>
    </row>
    <row r="1873" spans="1:2" x14ac:dyDescent="0.25">
      <c r="A1873" s="4">
        <v>1868</v>
      </c>
      <c r="B1873" s="3" t="str">
        <f>"00161482"</f>
        <v>00161482</v>
      </c>
    </row>
    <row r="1874" spans="1:2" x14ac:dyDescent="0.25">
      <c r="A1874" s="4">
        <v>1869</v>
      </c>
      <c r="B1874" s="3" t="str">
        <f>"00161651"</f>
        <v>00161651</v>
      </c>
    </row>
    <row r="1875" spans="1:2" x14ac:dyDescent="0.25">
      <c r="A1875" s="4">
        <v>1870</v>
      </c>
      <c r="B1875" s="3" t="str">
        <f>"00161676"</f>
        <v>00161676</v>
      </c>
    </row>
    <row r="1876" spans="1:2" x14ac:dyDescent="0.25">
      <c r="A1876" s="4">
        <v>1871</v>
      </c>
      <c r="B1876" s="3" t="str">
        <f>"00161753"</f>
        <v>00161753</v>
      </c>
    </row>
    <row r="1877" spans="1:2" x14ac:dyDescent="0.25">
      <c r="A1877" s="4">
        <v>1872</v>
      </c>
      <c r="B1877" s="3" t="str">
        <f>"00161786"</f>
        <v>00161786</v>
      </c>
    </row>
    <row r="1878" spans="1:2" x14ac:dyDescent="0.25">
      <c r="A1878" s="4">
        <v>1873</v>
      </c>
      <c r="B1878" s="3" t="str">
        <f>"00162134"</f>
        <v>00162134</v>
      </c>
    </row>
    <row r="1879" spans="1:2" x14ac:dyDescent="0.25">
      <c r="A1879" s="4">
        <v>1874</v>
      </c>
      <c r="B1879" s="3" t="str">
        <f>"00162290"</f>
        <v>00162290</v>
      </c>
    </row>
    <row r="1880" spans="1:2" x14ac:dyDescent="0.25">
      <c r="A1880" s="4">
        <v>1875</v>
      </c>
      <c r="B1880" s="3" t="str">
        <f>"00162423"</f>
        <v>00162423</v>
      </c>
    </row>
    <row r="1881" spans="1:2" x14ac:dyDescent="0.25">
      <c r="A1881" s="4">
        <v>1876</v>
      </c>
      <c r="B1881" s="3" t="str">
        <f>"00162612"</f>
        <v>00162612</v>
      </c>
    </row>
    <row r="1882" spans="1:2" x14ac:dyDescent="0.25">
      <c r="A1882" s="4">
        <v>1877</v>
      </c>
      <c r="B1882" s="3" t="str">
        <f>"00162842"</f>
        <v>00162842</v>
      </c>
    </row>
    <row r="1883" spans="1:2" x14ac:dyDescent="0.25">
      <c r="A1883" s="4">
        <v>1878</v>
      </c>
      <c r="B1883" s="3" t="str">
        <f>"00162981"</f>
        <v>00162981</v>
      </c>
    </row>
    <row r="1884" spans="1:2" x14ac:dyDescent="0.25">
      <c r="A1884" s="4">
        <v>1879</v>
      </c>
      <c r="B1884" s="3" t="str">
        <f>"00163539"</f>
        <v>00163539</v>
      </c>
    </row>
    <row r="1885" spans="1:2" x14ac:dyDescent="0.25">
      <c r="A1885" s="4">
        <v>1880</v>
      </c>
      <c r="B1885" s="3" t="str">
        <f>"00163885"</f>
        <v>00163885</v>
      </c>
    </row>
    <row r="1886" spans="1:2" x14ac:dyDescent="0.25">
      <c r="A1886" s="4">
        <v>1881</v>
      </c>
      <c r="B1886" s="3" t="str">
        <f>"00163887"</f>
        <v>00163887</v>
      </c>
    </row>
    <row r="1887" spans="1:2" x14ac:dyDescent="0.25">
      <c r="A1887" s="4">
        <v>1882</v>
      </c>
      <c r="B1887" s="3" t="str">
        <f>"00163929"</f>
        <v>00163929</v>
      </c>
    </row>
    <row r="1888" spans="1:2" x14ac:dyDescent="0.25">
      <c r="A1888" s="4">
        <v>1883</v>
      </c>
      <c r="B1888" s="3" t="str">
        <f>"00165775"</f>
        <v>00165775</v>
      </c>
    </row>
    <row r="1889" spans="1:2" x14ac:dyDescent="0.25">
      <c r="A1889" s="4">
        <v>1884</v>
      </c>
      <c r="B1889" s="3" t="str">
        <f>"00165921"</f>
        <v>00165921</v>
      </c>
    </row>
    <row r="1890" spans="1:2" x14ac:dyDescent="0.25">
      <c r="A1890" s="4">
        <v>1885</v>
      </c>
      <c r="B1890" s="3" t="str">
        <f>"00166118"</f>
        <v>00166118</v>
      </c>
    </row>
    <row r="1891" spans="1:2" x14ac:dyDescent="0.25">
      <c r="A1891" s="4">
        <v>1886</v>
      </c>
      <c r="B1891" s="3" t="str">
        <f>"00166537"</f>
        <v>00166537</v>
      </c>
    </row>
    <row r="1892" spans="1:2" x14ac:dyDescent="0.25">
      <c r="A1892" s="4">
        <v>1887</v>
      </c>
      <c r="B1892" s="3" t="str">
        <f>"00167480"</f>
        <v>00167480</v>
      </c>
    </row>
    <row r="1893" spans="1:2" x14ac:dyDescent="0.25">
      <c r="A1893" s="4">
        <v>1888</v>
      </c>
      <c r="B1893" s="3" t="str">
        <f>"00167498"</f>
        <v>00167498</v>
      </c>
    </row>
    <row r="1894" spans="1:2" x14ac:dyDescent="0.25">
      <c r="A1894" s="4">
        <v>1889</v>
      </c>
      <c r="B1894" s="3" t="str">
        <f>"00167689"</f>
        <v>00167689</v>
      </c>
    </row>
    <row r="1895" spans="1:2" x14ac:dyDescent="0.25">
      <c r="A1895" s="4">
        <v>1890</v>
      </c>
      <c r="B1895" s="3" t="str">
        <f>"00167836"</f>
        <v>00167836</v>
      </c>
    </row>
    <row r="1896" spans="1:2" x14ac:dyDescent="0.25">
      <c r="A1896" s="4">
        <v>1891</v>
      </c>
      <c r="B1896" s="3" t="str">
        <f>"00168530"</f>
        <v>00168530</v>
      </c>
    </row>
    <row r="1897" spans="1:2" x14ac:dyDescent="0.25">
      <c r="A1897" s="4">
        <v>1892</v>
      </c>
      <c r="B1897" s="3" t="str">
        <f>"00168567"</f>
        <v>00168567</v>
      </c>
    </row>
    <row r="1898" spans="1:2" x14ac:dyDescent="0.25">
      <c r="A1898" s="4">
        <v>1893</v>
      </c>
      <c r="B1898" s="3" t="str">
        <f>"00169480"</f>
        <v>00169480</v>
      </c>
    </row>
    <row r="1899" spans="1:2" x14ac:dyDescent="0.25">
      <c r="A1899" s="4">
        <v>1894</v>
      </c>
      <c r="B1899" s="3" t="str">
        <f>"00169971"</f>
        <v>00169971</v>
      </c>
    </row>
    <row r="1900" spans="1:2" x14ac:dyDescent="0.25">
      <c r="A1900" s="4">
        <v>1895</v>
      </c>
      <c r="B1900" s="3" t="str">
        <f>"00170235"</f>
        <v>00170235</v>
      </c>
    </row>
    <row r="1901" spans="1:2" x14ac:dyDescent="0.25">
      <c r="A1901" s="4">
        <v>1896</v>
      </c>
      <c r="B1901" s="3" t="str">
        <f>"00170251"</f>
        <v>00170251</v>
      </c>
    </row>
    <row r="1902" spans="1:2" x14ac:dyDescent="0.25">
      <c r="A1902" s="4">
        <v>1897</v>
      </c>
      <c r="B1902" s="3" t="str">
        <f>"00170521"</f>
        <v>00170521</v>
      </c>
    </row>
    <row r="1903" spans="1:2" x14ac:dyDescent="0.25">
      <c r="A1903" s="4">
        <v>1898</v>
      </c>
      <c r="B1903" s="3" t="str">
        <f>"00170677"</f>
        <v>00170677</v>
      </c>
    </row>
    <row r="1904" spans="1:2" x14ac:dyDescent="0.25">
      <c r="A1904" s="4">
        <v>1899</v>
      </c>
      <c r="B1904" s="3" t="str">
        <f>"00171755"</f>
        <v>00171755</v>
      </c>
    </row>
    <row r="1905" spans="1:2" x14ac:dyDescent="0.25">
      <c r="A1905" s="4">
        <v>1900</v>
      </c>
      <c r="B1905" s="3" t="str">
        <f>"00171763"</f>
        <v>00171763</v>
      </c>
    </row>
    <row r="1906" spans="1:2" x14ac:dyDescent="0.25">
      <c r="A1906" s="4">
        <v>1901</v>
      </c>
      <c r="B1906" s="3" t="str">
        <f>"00171806"</f>
        <v>00171806</v>
      </c>
    </row>
    <row r="1907" spans="1:2" x14ac:dyDescent="0.25">
      <c r="A1907" s="4">
        <v>1902</v>
      </c>
      <c r="B1907" s="3" t="str">
        <f>"00171839"</f>
        <v>00171839</v>
      </c>
    </row>
    <row r="1908" spans="1:2" x14ac:dyDescent="0.25">
      <c r="A1908" s="4">
        <v>1903</v>
      </c>
      <c r="B1908" s="3" t="str">
        <f>"00172047"</f>
        <v>00172047</v>
      </c>
    </row>
    <row r="1909" spans="1:2" x14ac:dyDescent="0.25">
      <c r="A1909" s="4">
        <v>1904</v>
      </c>
      <c r="B1909" s="3" t="str">
        <f>"00173500"</f>
        <v>00173500</v>
      </c>
    </row>
    <row r="1910" spans="1:2" x14ac:dyDescent="0.25">
      <c r="A1910" s="4">
        <v>1905</v>
      </c>
      <c r="B1910" s="3" t="str">
        <f>"00173692"</f>
        <v>00173692</v>
      </c>
    </row>
    <row r="1911" spans="1:2" x14ac:dyDescent="0.25">
      <c r="A1911" s="4">
        <v>1906</v>
      </c>
      <c r="B1911" s="3" t="str">
        <f>"00173711"</f>
        <v>00173711</v>
      </c>
    </row>
    <row r="1912" spans="1:2" x14ac:dyDescent="0.25">
      <c r="A1912" s="4">
        <v>1907</v>
      </c>
      <c r="B1912" s="3" t="str">
        <f>"00173737"</f>
        <v>00173737</v>
      </c>
    </row>
    <row r="1913" spans="1:2" x14ac:dyDescent="0.25">
      <c r="A1913" s="4">
        <v>1908</v>
      </c>
      <c r="B1913" s="3" t="str">
        <f>"00173964"</f>
        <v>00173964</v>
      </c>
    </row>
    <row r="1914" spans="1:2" x14ac:dyDescent="0.25">
      <c r="A1914" s="4">
        <v>1909</v>
      </c>
      <c r="B1914" s="3" t="str">
        <f>"00174035"</f>
        <v>00174035</v>
      </c>
    </row>
    <row r="1915" spans="1:2" x14ac:dyDescent="0.25">
      <c r="A1915" s="4">
        <v>1910</v>
      </c>
      <c r="B1915" s="3" t="str">
        <f>"00174036"</f>
        <v>00174036</v>
      </c>
    </row>
    <row r="1916" spans="1:2" x14ac:dyDescent="0.25">
      <c r="A1916" s="4">
        <v>1911</v>
      </c>
      <c r="B1916" s="3" t="str">
        <f>"00175679"</f>
        <v>00175679</v>
      </c>
    </row>
    <row r="1917" spans="1:2" x14ac:dyDescent="0.25">
      <c r="A1917" s="4">
        <v>1912</v>
      </c>
      <c r="B1917" s="3" t="str">
        <f>"00175752"</f>
        <v>00175752</v>
      </c>
    </row>
    <row r="1918" spans="1:2" x14ac:dyDescent="0.25">
      <c r="A1918" s="4">
        <v>1913</v>
      </c>
      <c r="B1918" s="3" t="str">
        <f>"00175858"</f>
        <v>00175858</v>
      </c>
    </row>
    <row r="1919" spans="1:2" x14ac:dyDescent="0.25">
      <c r="A1919" s="4">
        <v>1914</v>
      </c>
      <c r="B1919" s="3" t="str">
        <f>"00175929"</f>
        <v>00175929</v>
      </c>
    </row>
    <row r="1920" spans="1:2" x14ac:dyDescent="0.25">
      <c r="A1920" s="4">
        <v>1915</v>
      </c>
      <c r="B1920" s="3" t="str">
        <f>"00176066"</f>
        <v>00176066</v>
      </c>
    </row>
    <row r="1921" spans="1:2" x14ac:dyDescent="0.25">
      <c r="A1921" s="4">
        <v>1916</v>
      </c>
      <c r="B1921" s="3" t="str">
        <f>"00176095"</f>
        <v>00176095</v>
      </c>
    </row>
    <row r="1922" spans="1:2" x14ac:dyDescent="0.25">
      <c r="A1922" s="4">
        <v>1917</v>
      </c>
      <c r="B1922" s="3" t="str">
        <f>"00176144"</f>
        <v>00176144</v>
      </c>
    </row>
    <row r="1923" spans="1:2" x14ac:dyDescent="0.25">
      <c r="A1923" s="4">
        <v>1918</v>
      </c>
      <c r="B1923" s="3" t="str">
        <f>"00176208"</f>
        <v>00176208</v>
      </c>
    </row>
    <row r="1924" spans="1:2" x14ac:dyDescent="0.25">
      <c r="A1924" s="4">
        <v>1919</v>
      </c>
      <c r="B1924" s="3" t="str">
        <f>"00176216"</f>
        <v>00176216</v>
      </c>
    </row>
    <row r="1925" spans="1:2" x14ac:dyDescent="0.25">
      <c r="A1925" s="4">
        <v>1920</v>
      </c>
      <c r="B1925" s="3" t="str">
        <f>"00176322"</f>
        <v>00176322</v>
      </c>
    </row>
    <row r="1926" spans="1:2" x14ac:dyDescent="0.25">
      <c r="A1926" s="4">
        <v>1921</v>
      </c>
      <c r="B1926" s="3" t="str">
        <f>"00176438"</f>
        <v>00176438</v>
      </c>
    </row>
    <row r="1927" spans="1:2" x14ac:dyDescent="0.25">
      <c r="A1927" s="4">
        <v>1922</v>
      </c>
      <c r="B1927" s="3" t="str">
        <f>"00176614"</f>
        <v>00176614</v>
      </c>
    </row>
    <row r="1928" spans="1:2" x14ac:dyDescent="0.25">
      <c r="A1928" s="4">
        <v>1923</v>
      </c>
      <c r="B1928" s="3" t="str">
        <f>"00176644"</f>
        <v>00176644</v>
      </c>
    </row>
    <row r="1929" spans="1:2" x14ac:dyDescent="0.25">
      <c r="A1929" s="4">
        <v>1924</v>
      </c>
      <c r="B1929" s="3" t="str">
        <f>"00176986"</f>
        <v>00176986</v>
      </c>
    </row>
    <row r="1930" spans="1:2" x14ac:dyDescent="0.25">
      <c r="A1930" s="4">
        <v>1925</v>
      </c>
      <c r="B1930" s="3" t="str">
        <f>"00177295"</f>
        <v>00177295</v>
      </c>
    </row>
    <row r="1931" spans="1:2" x14ac:dyDescent="0.25">
      <c r="A1931" s="4">
        <v>1926</v>
      </c>
      <c r="B1931" s="3" t="str">
        <f>"00181401"</f>
        <v>00181401</v>
      </c>
    </row>
    <row r="1932" spans="1:2" x14ac:dyDescent="0.25">
      <c r="A1932" s="4">
        <v>1927</v>
      </c>
      <c r="B1932" s="3" t="str">
        <f>"00181434"</f>
        <v>00181434</v>
      </c>
    </row>
    <row r="1933" spans="1:2" x14ac:dyDescent="0.25">
      <c r="A1933" s="4">
        <v>1928</v>
      </c>
      <c r="B1933" s="3" t="str">
        <f>"00182179"</f>
        <v>00182179</v>
      </c>
    </row>
    <row r="1934" spans="1:2" x14ac:dyDescent="0.25">
      <c r="A1934" s="4">
        <v>1929</v>
      </c>
      <c r="B1934" s="3" t="str">
        <f>"00182229"</f>
        <v>00182229</v>
      </c>
    </row>
    <row r="1935" spans="1:2" x14ac:dyDescent="0.25">
      <c r="A1935" s="4">
        <v>1930</v>
      </c>
      <c r="B1935" s="3" t="str">
        <f>"00182264"</f>
        <v>00182264</v>
      </c>
    </row>
    <row r="1936" spans="1:2" x14ac:dyDescent="0.25">
      <c r="A1936" s="4">
        <v>1931</v>
      </c>
      <c r="B1936" s="3" t="str">
        <f>"00182429"</f>
        <v>00182429</v>
      </c>
    </row>
    <row r="1937" spans="1:2" x14ac:dyDescent="0.25">
      <c r="A1937" s="4">
        <v>1932</v>
      </c>
      <c r="B1937" s="3" t="str">
        <f>"00182547"</f>
        <v>00182547</v>
      </c>
    </row>
    <row r="1938" spans="1:2" x14ac:dyDescent="0.25">
      <c r="A1938" s="4">
        <v>1933</v>
      </c>
      <c r="B1938" s="3" t="str">
        <f>"00183031"</f>
        <v>00183031</v>
      </c>
    </row>
    <row r="1939" spans="1:2" x14ac:dyDescent="0.25">
      <c r="A1939" s="4">
        <v>1934</v>
      </c>
      <c r="B1939" s="3" t="str">
        <f>"00183320"</f>
        <v>00183320</v>
      </c>
    </row>
    <row r="1940" spans="1:2" x14ac:dyDescent="0.25">
      <c r="A1940" s="4">
        <v>1935</v>
      </c>
      <c r="B1940" s="3" t="str">
        <f>"00183339"</f>
        <v>00183339</v>
      </c>
    </row>
    <row r="1941" spans="1:2" x14ac:dyDescent="0.25">
      <c r="A1941" s="4">
        <v>1936</v>
      </c>
      <c r="B1941" s="3" t="str">
        <f>"00183660"</f>
        <v>00183660</v>
      </c>
    </row>
    <row r="1942" spans="1:2" x14ac:dyDescent="0.25">
      <c r="A1942" s="4">
        <v>1937</v>
      </c>
      <c r="B1942" s="3" t="str">
        <f>"00183724"</f>
        <v>00183724</v>
      </c>
    </row>
    <row r="1943" spans="1:2" x14ac:dyDescent="0.25">
      <c r="A1943" s="4">
        <v>1938</v>
      </c>
      <c r="B1943" s="3" t="str">
        <f>"00183875"</f>
        <v>00183875</v>
      </c>
    </row>
    <row r="1944" spans="1:2" x14ac:dyDescent="0.25">
      <c r="A1944" s="4">
        <v>1939</v>
      </c>
      <c r="B1944" s="3" t="str">
        <f>"00184098"</f>
        <v>00184098</v>
      </c>
    </row>
    <row r="1945" spans="1:2" x14ac:dyDescent="0.25">
      <c r="A1945" s="4">
        <v>1940</v>
      </c>
      <c r="B1945" s="3" t="str">
        <f>"00184288"</f>
        <v>00184288</v>
      </c>
    </row>
    <row r="1946" spans="1:2" x14ac:dyDescent="0.25">
      <c r="A1946" s="4">
        <v>1941</v>
      </c>
      <c r="B1946" s="3" t="str">
        <f>"00184365"</f>
        <v>00184365</v>
      </c>
    </row>
    <row r="1947" spans="1:2" x14ac:dyDescent="0.25">
      <c r="A1947" s="4">
        <v>1942</v>
      </c>
      <c r="B1947" s="3" t="str">
        <f>"00184509"</f>
        <v>00184509</v>
      </c>
    </row>
    <row r="1948" spans="1:2" x14ac:dyDescent="0.25">
      <c r="A1948" s="4">
        <v>1943</v>
      </c>
      <c r="B1948" s="3" t="str">
        <f>"00184537"</f>
        <v>00184537</v>
      </c>
    </row>
    <row r="1949" spans="1:2" x14ac:dyDescent="0.25">
      <c r="A1949" s="4">
        <v>1944</v>
      </c>
      <c r="B1949" s="3" t="str">
        <f>"00184540"</f>
        <v>00184540</v>
      </c>
    </row>
    <row r="1950" spans="1:2" x14ac:dyDescent="0.25">
      <c r="A1950" s="4">
        <v>1945</v>
      </c>
      <c r="B1950" s="3" t="str">
        <f>"00184612"</f>
        <v>00184612</v>
      </c>
    </row>
    <row r="1951" spans="1:2" x14ac:dyDescent="0.25">
      <c r="A1951" s="4">
        <v>1946</v>
      </c>
      <c r="B1951" s="3" t="str">
        <f>"00184715"</f>
        <v>00184715</v>
      </c>
    </row>
    <row r="1952" spans="1:2" x14ac:dyDescent="0.25">
      <c r="A1952" s="4">
        <v>1947</v>
      </c>
      <c r="B1952" s="3" t="str">
        <f>"00184810"</f>
        <v>00184810</v>
      </c>
    </row>
    <row r="1953" spans="1:2" x14ac:dyDescent="0.25">
      <c r="A1953" s="4">
        <v>1948</v>
      </c>
      <c r="B1953" s="3" t="str">
        <f>"00184985"</f>
        <v>00184985</v>
      </c>
    </row>
    <row r="1954" spans="1:2" x14ac:dyDescent="0.25">
      <c r="A1954" s="4">
        <v>1949</v>
      </c>
      <c r="B1954" s="3" t="str">
        <f>"00184986"</f>
        <v>00184986</v>
      </c>
    </row>
    <row r="1955" spans="1:2" x14ac:dyDescent="0.25">
      <c r="A1955" s="4">
        <v>1950</v>
      </c>
      <c r="B1955" s="3" t="str">
        <f>"00185150"</f>
        <v>00185150</v>
      </c>
    </row>
    <row r="1956" spans="1:2" x14ac:dyDescent="0.25">
      <c r="A1956" s="4">
        <v>1951</v>
      </c>
      <c r="B1956" s="3" t="str">
        <f>"00185180"</f>
        <v>00185180</v>
      </c>
    </row>
    <row r="1957" spans="1:2" x14ac:dyDescent="0.25">
      <c r="A1957" s="4">
        <v>1952</v>
      </c>
      <c r="B1957" s="3" t="str">
        <f>"00185336"</f>
        <v>00185336</v>
      </c>
    </row>
    <row r="1958" spans="1:2" x14ac:dyDescent="0.25">
      <c r="A1958" s="4">
        <v>1953</v>
      </c>
      <c r="B1958" s="3" t="str">
        <f>"00185358"</f>
        <v>00185358</v>
      </c>
    </row>
    <row r="1959" spans="1:2" x14ac:dyDescent="0.25">
      <c r="A1959" s="4">
        <v>1954</v>
      </c>
      <c r="B1959" s="3" t="str">
        <f>"00185384"</f>
        <v>00185384</v>
      </c>
    </row>
    <row r="1960" spans="1:2" x14ac:dyDescent="0.25">
      <c r="A1960" s="4">
        <v>1955</v>
      </c>
      <c r="B1960" s="3" t="str">
        <f>"00185398"</f>
        <v>00185398</v>
      </c>
    </row>
    <row r="1961" spans="1:2" x14ac:dyDescent="0.25">
      <c r="A1961" s="4">
        <v>1956</v>
      </c>
      <c r="B1961" s="3" t="str">
        <f>"00185498"</f>
        <v>00185498</v>
      </c>
    </row>
    <row r="1962" spans="1:2" x14ac:dyDescent="0.25">
      <c r="A1962" s="4">
        <v>1957</v>
      </c>
      <c r="B1962" s="3" t="str">
        <f>"00185700"</f>
        <v>00185700</v>
      </c>
    </row>
    <row r="1963" spans="1:2" x14ac:dyDescent="0.25">
      <c r="A1963" s="4">
        <v>1958</v>
      </c>
      <c r="B1963" s="3" t="str">
        <f>"00185919"</f>
        <v>00185919</v>
      </c>
    </row>
    <row r="1964" spans="1:2" x14ac:dyDescent="0.25">
      <c r="A1964" s="4">
        <v>1959</v>
      </c>
      <c r="B1964" s="3" t="str">
        <f>"00185990"</f>
        <v>00185990</v>
      </c>
    </row>
    <row r="1965" spans="1:2" x14ac:dyDescent="0.25">
      <c r="A1965" s="4">
        <v>1960</v>
      </c>
      <c r="B1965" s="3" t="str">
        <f>"00186005"</f>
        <v>00186005</v>
      </c>
    </row>
    <row r="1966" spans="1:2" x14ac:dyDescent="0.25">
      <c r="A1966" s="4">
        <v>1961</v>
      </c>
      <c r="B1966" s="3" t="str">
        <f>"00186009"</f>
        <v>00186009</v>
      </c>
    </row>
    <row r="1967" spans="1:2" x14ac:dyDescent="0.25">
      <c r="A1967" s="4">
        <v>1962</v>
      </c>
      <c r="B1967" s="3" t="str">
        <f>"00186382"</f>
        <v>00186382</v>
      </c>
    </row>
    <row r="1968" spans="1:2" x14ac:dyDescent="0.25">
      <c r="A1968" s="4">
        <v>1963</v>
      </c>
      <c r="B1968" s="3" t="str">
        <f>"00186541"</f>
        <v>00186541</v>
      </c>
    </row>
    <row r="1969" spans="1:2" x14ac:dyDescent="0.25">
      <c r="A1969" s="4">
        <v>1964</v>
      </c>
      <c r="B1969" s="3" t="str">
        <f>"00186559"</f>
        <v>00186559</v>
      </c>
    </row>
    <row r="1970" spans="1:2" x14ac:dyDescent="0.25">
      <c r="A1970" s="4">
        <v>1965</v>
      </c>
      <c r="B1970" s="3" t="str">
        <f>"00186574"</f>
        <v>00186574</v>
      </c>
    </row>
    <row r="1971" spans="1:2" x14ac:dyDescent="0.25">
      <c r="A1971" s="4">
        <v>1966</v>
      </c>
      <c r="B1971" s="3" t="str">
        <f>"00186625"</f>
        <v>00186625</v>
      </c>
    </row>
    <row r="1972" spans="1:2" x14ac:dyDescent="0.25">
      <c r="A1972" s="4">
        <v>1967</v>
      </c>
      <c r="B1972" s="3" t="str">
        <f>"00186724"</f>
        <v>00186724</v>
      </c>
    </row>
    <row r="1973" spans="1:2" x14ac:dyDescent="0.25">
      <c r="A1973" s="4">
        <v>1968</v>
      </c>
      <c r="B1973" s="3" t="str">
        <f>"00186732"</f>
        <v>00186732</v>
      </c>
    </row>
    <row r="1974" spans="1:2" x14ac:dyDescent="0.25">
      <c r="A1974" s="4">
        <v>1969</v>
      </c>
      <c r="B1974" s="3" t="str">
        <f>"00186786"</f>
        <v>00186786</v>
      </c>
    </row>
    <row r="1975" spans="1:2" x14ac:dyDescent="0.25">
      <c r="A1975" s="4">
        <v>1970</v>
      </c>
      <c r="B1975" s="3" t="str">
        <f>"00186795"</f>
        <v>00186795</v>
      </c>
    </row>
    <row r="1976" spans="1:2" x14ac:dyDescent="0.25">
      <c r="A1976" s="4">
        <v>1971</v>
      </c>
      <c r="B1976" s="3" t="str">
        <f>"00186891"</f>
        <v>00186891</v>
      </c>
    </row>
    <row r="1977" spans="1:2" x14ac:dyDescent="0.25">
      <c r="A1977" s="4">
        <v>1972</v>
      </c>
      <c r="B1977" s="3" t="str">
        <f>"00186930"</f>
        <v>00186930</v>
      </c>
    </row>
    <row r="1978" spans="1:2" x14ac:dyDescent="0.25">
      <c r="A1978" s="4">
        <v>1973</v>
      </c>
      <c r="B1978" s="3" t="str">
        <f>"00186963"</f>
        <v>00186963</v>
      </c>
    </row>
    <row r="1979" spans="1:2" x14ac:dyDescent="0.25">
      <c r="A1979" s="4">
        <v>1974</v>
      </c>
      <c r="B1979" s="3" t="str">
        <f>"00187016"</f>
        <v>00187016</v>
      </c>
    </row>
    <row r="1980" spans="1:2" x14ac:dyDescent="0.25">
      <c r="A1980" s="4">
        <v>1975</v>
      </c>
      <c r="B1980" s="3" t="str">
        <f>"00187036"</f>
        <v>00187036</v>
      </c>
    </row>
    <row r="1981" spans="1:2" x14ac:dyDescent="0.25">
      <c r="A1981" s="4">
        <v>1976</v>
      </c>
      <c r="B1981" s="3" t="str">
        <f>"00187146"</f>
        <v>00187146</v>
      </c>
    </row>
    <row r="1982" spans="1:2" x14ac:dyDescent="0.25">
      <c r="A1982" s="4">
        <v>1977</v>
      </c>
      <c r="B1982" s="3" t="str">
        <f>"00187147"</f>
        <v>00187147</v>
      </c>
    </row>
    <row r="1983" spans="1:2" x14ac:dyDescent="0.25">
      <c r="A1983" s="4">
        <v>1978</v>
      </c>
      <c r="B1983" s="3" t="str">
        <f>"00187168"</f>
        <v>00187168</v>
      </c>
    </row>
    <row r="1984" spans="1:2" x14ac:dyDescent="0.25">
      <c r="A1984" s="4">
        <v>1979</v>
      </c>
      <c r="B1984" s="3" t="str">
        <f>"00187235"</f>
        <v>00187235</v>
      </c>
    </row>
    <row r="1985" spans="1:2" x14ac:dyDescent="0.25">
      <c r="A1985" s="4">
        <v>1980</v>
      </c>
      <c r="B1985" s="3" t="str">
        <f>"00187248"</f>
        <v>00187248</v>
      </c>
    </row>
    <row r="1986" spans="1:2" x14ac:dyDescent="0.25">
      <c r="A1986" s="4">
        <v>1981</v>
      </c>
      <c r="B1986" s="3" t="str">
        <f>"00187272"</f>
        <v>00187272</v>
      </c>
    </row>
    <row r="1987" spans="1:2" x14ac:dyDescent="0.25">
      <c r="A1987" s="4">
        <v>1982</v>
      </c>
      <c r="B1987" s="3" t="str">
        <f>"00187394"</f>
        <v>00187394</v>
      </c>
    </row>
    <row r="1988" spans="1:2" x14ac:dyDescent="0.25">
      <c r="A1988" s="4">
        <v>1983</v>
      </c>
      <c r="B1988" s="3" t="str">
        <f>"00187418"</f>
        <v>00187418</v>
      </c>
    </row>
    <row r="1989" spans="1:2" x14ac:dyDescent="0.25">
      <c r="A1989" s="4">
        <v>1984</v>
      </c>
      <c r="B1989" s="3" t="str">
        <f>"00187436"</f>
        <v>00187436</v>
      </c>
    </row>
    <row r="1990" spans="1:2" x14ac:dyDescent="0.25">
      <c r="A1990" s="4">
        <v>1985</v>
      </c>
      <c r="B1990" s="3" t="str">
        <f>"00187440"</f>
        <v>00187440</v>
      </c>
    </row>
    <row r="1991" spans="1:2" x14ac:dyDescent="0.25">
      <c r="A1991" s="4">
        <v>1986</v>
      </c>
      <c r="B1991" s="3" t="str">
        <f>"00187512"</f>
        <v>00187512</v>
      </c>
    </row>
    <row r="1992" spans="1:2" x14ac:dyDescent="0.25">
      <c r="A1992" s="4">
        <v>1987</v>
      </c>
      <c r="B1992" s="3" t="str">
        <f>"00187534"</f>
        <v>00187534</v>
      </c>
    </row>
    <row r="1993" spans="1:2" x14ac:dyDescent="0.25">
      <c r="A1993" s="4">
        <v>1988</v>
      </c>
      <c r="B1993" s="3" t="str">
        <f>"00187556"</f>
        <v>00187556</v>
      </c>
    </row>
    <row r="1994" spans="1:2" x14ac:dyDescent="0.25">
      <c r="A1994" s="4">
        <v>1989</v>
      </c>
      <c r="B1994" s="3" t="str">
        <f>"00187621"</f>
        <v>00187621</v>
      </c>
    </row>
    <row r="1995" spans="1:2" x14ac:dyDescent="0.25">
      <c r="A1995" s="4">
        <v>1990</v>
      </c>
      <c r="B1995" s="3" t="str">
        <f>"00187641"</f>
        <v>00187641</v>
      </c>
    </row>
    <row r="1996" spans="1:2" x14ac:dyDescent="0.25">
      <c r="A1996" s="4">
        <v>1991</v>
      </c>
      <c r="B1996" s="3" t="str">
        <f>"00187816"</f>
        <v>00187816</v>
      </c>
    </row>
    <row r="1997" spans="1:2" x14ac:dyDescent="0.25">
      <c r="A1997" s="4">
        <v>1992</v>
      </c>
      <c r="B1997" s="3" t="str">
        <f>"00187834"</f>
        <v>00187834</v>
      </c>
    </row>
    <row r="1998" spans="1:2" x14ac:dyDescent="0.25">
      <c r="A1998" s="4">
        <v>1993</v>
      </c>
      <c r="B1998" s="3" t="str">
        <f>"00187835"</f>
        <v>00187835</v>
      </c>
    </row>
    <row r="1999" spans="1:2" x14ac:dyDescent="0.25">
      <c r="A1999" s="4">
        <v>1994</v>
      </c>
      <c r="B1999" s="3" t="str">
        <f>"00187855"</f>
        <v>00187855</v>
      </c>
    </row>
    <row r="2000" spans="1:2" x14ac:dyDescent="0.25">
      <c r="A2000" s="4">
        <v>1995</v>
      </c>
      <c r="B2000" s="3" t="str">
        <f>"00187884"</f>
        <v>00187884</v>
      </c>
    </row>
    <row r="2001" spans="1:2" x14ac:dyDescent="0.25">
      <c r="A2001" s="4">
        <v>1996</v>
      </c>
      <c r="B2001" s="3" t="str">
        <f>"00187968"</f>
        <v>00187968</v>
      </c>
    </row>
    <row r="2002" spans="1:2" x14ac:dyDescent="0.25">
      <c r="A2002" s="4">
        <v>1997</v>
      </c>
      <c r="B2002" s="3" t="str">
        <f>"00188047"</f>
        <v>00188047</v>
      </c>
    </row>
    <row r="2003" spans="1:2" x14ac:dyDescent="0.25">
      <c r="A2003" s="4">
        <v>1998</v>
      </c>
      <c r="B2003" s="3" t="str">
        <f>"00188102"</f>
        <v>00188102</v>
      </c>
    </row>
    <row r="2004" spans="1:2" x14ac:dyDescent="0.25">
      <c r="A2004" s="4">
        <v>1999</v>
      </c>
      <c r="B2004" s="3" t="str">
        <f>"00188205"</f>
        <v>00188205</v>
      </c>
    </row>
    <row r="2005" spans="1:2" x14ac:dyDescent="0.25">
      <c r="A2005" s="4">
        <v>2000</v>
      </c>
      <c r="B2005" s="3" t="str">
        <f>"00188235"</f>
        <v>00188235</v>
      </c>
    </row>
    <row r="2006" spans="1:2" x14ac:dyDescent="0.25">
      <c r="A2006" s="4">
        <v>2001</v>
      </c>
      <c r="B2006" s="3" t="str">
        <f>"00188331"</f>
        <v>00188331</v>
      </c>
    </row>
    <row r="2007" spans="1:2" x14ac:dyDescent="0.25">
      <c r="A2007" s="4">
        <v>2002</v>
      </c>
      <c r="B2007" s="3" t="str">
        <f>"00188363"</f>
        <v>00188363</v>
      </c>
    </row>
    <row r="2008" spans="1:2" x14ac:dyDescent="0.25">
      <c r="A2008" s="4">
        <v>2003</v>
      </c>
      <c r="B2008" s="3" t="str">
        <f>"00188456"</f>
        <v>00188456</v>
      </c>
    </row>
    <row r="2009" spans="1:2" x14ac:dyDescent="0.25">
      <c r="A2009" s="4">
        <v>2004</v>
      </c>
      <c r="B2009" s="3" t="str">
        <f>"00188527"</f>
        <v>00188527</v>
      </c>
    </row>
    <row r="2010" spans="1:2" x14ac:dyDescent="0.25">
      <c r="A2010" s="4">
        <v>2005</v>
      </c>
      <c r="B2010" s="3" t="str">
        <f>"00188694"</f>
        <v>00188694</v>
      </c>
    </row>
    <row r="2011" spans="1:2" x14ac:dyDescent="0.25">
      <c r="A2011" s="4">
        <v>2006</v>
      </c>
      <c r="B2011" s="3" t="str">
        <f>"00189044"</f>
        <v>00189044</v>
      </c>
    </row>
    <row r="2012" spans="1:2" x14ac:dyDescent="0.25">
      <c r="A2012" s="4">
        <v>2007</v>
      </c>
      <c r="B2012" s="3" t="str">
        <f>"00189165"</f>
        <v>00189165</v>
      </c>
    </row>
    <row r="2013" spans="1:2" x14ac:dyDescent="0.25">
      <c r="A2013" s="4">
        <v>2008</v>
      </c>
      <c r="B2013" s="3" t="str">
        <f>"00189222"</f>
        <v>00189222</v>
      </c>
    </row>
    <row r="2014" spans="1:2" x14ac:dyDescent="0.25">
      <c r="A2014" s="4">
        <v>2009</v>
      </c>
      <c r="B2014" s="3" t="str">
        <f>"00189383"</f>
        <v>00189383</v>
      </c>
    </row>
    <row r="2015" spans="1:2" x14ac:dyDescent="0.25">
      <c r="A2015" s="4">
        <v>2010</v>
      </c>
      <c r="B2015" s="3" t="str">
        <f>"00189437"</f>
        <v>00189437</v>
      </c>
    </row>
    <row r="2016" spans="1:2" x14ac:dyDescent="0.25">
      <c r="A2016" s="4">
        <v>2011</v>
      </c>
      <c r="B2016" s="3" t="str">
        <f>"00189440"</f>
        <v>00189440</v>
      </c>
    </row>
    <row r="2017" spans="1:2" x14ac:dyDescent="0.25">
      <c r="A2017" s="4">
        <v>2012</v>
      </c>
      <c r="B2017" s="3" t="str">
        <f>"00189531"</f>
        <v>00189531</v>
      </c>
    </row>
    <row r="2018" spans="1:2" x14ac:dyDescent="0.25">
      <c r="A2018" s="4">
        <v>2013</v>
      </c>
      <c r="B2018" s="3" t="str">
        <f>"00189810"</f>
        <v>00189810</v>
      </c>
    </row>
    <row r="2019" spans="1:2" x14ac:dyDescent="0.25">
      <c r="A2019" s="4">
        <v>2014</v>
      </c>
      <c r="B2019" s="3" t="str">
        <f>"00189837"</f>
        <v>00189837</v>
      </c>
    </row>
    <row r="2020" spans="1:2" x14ac:dyDescent="0.25">
      <c r="A2020" s="4">
        <v>2015</v>
      </c>
      <c r="B2020" s="3" t="str">
        <f>"00189865"</f>
        <v>00189865</v>
      </c>
    </row>
    <row r="2021" spans="1:2" x14ac:dyDescent="0.25">
      <c r="A2021" s="4">
        <v>2016</v>
      </c>
      <c r="B2021" s="3" t="str">
        <f>"00189928"</f>
        <v>00189928</v>
      </c>
    </row>
    <row r="2022" spans="1:2" x14ac:dyDescent="0.25">
      <c r="A2022" s="4">
        <v>2017</v>
      </c>
      <c r="B2022" s="3" t="str">
        <f>"00189963"</f>
        <v>00189963</v>
      </c>
    </row>
    <row r="2023" spans="1:2" x14ac:dyDescent="0.25">
      <c r="A2023" s="4">
        <v>2018</v>
      </c>
      <c r="B2023" s="3" t="str">
        <f>"00189977"</f>
        <v>00189977</v>
      </c>
    </row>
    <row r="2024" spans="1:2" x14ac:dyDescent="0.25">
      <c r="A2024" s="4">
        <v>2019</v>
      </c>
      <c r="B2024" s="3" t="str">
        <f>"00190006"</f>
        <v>00190006</v>
      </c>
    </row>
    <row r="2025" spans="1:2" x14ac:dyDescent="0.25">
      <c r="A2025" s="4">
        <v>2020</v>
      </c>
      <c r="B2025" s="3" t="str">
        <f>"00190015"</f>
        <v>00190015</v>
      </c>
    </row>
    <row r="2026" spans="1:2" x14ac:dyDescent="0.25">
      <c r="A2026" s="4">
        <v>2021</v>
      </c>
      <c r="B2026" s="3" t="str">
        <f>"00190091"</f>
        <v>00190091</v>
      </c>
    </row>
    <row r="2027" spans="1:2" x14ac:dyDescent="0.25">
      <c r="A2027" s="4">
        <v>2022</v>
      </c>
      <c r="B2027" s="3" t="str">
        <f>"00190156"</f>
        <v>00190156</v>
      </c>
    </row>
    <row r="2028" spans="1:2" x14ac:dyDescent="0.25">
      <c r="A2028" s="4">
        <v>2023</v>
      </c>
      <c r="B2028" s="3" t="str">
        <f>"00190181"</f>
        <v>00190181</v>
      </c>
    </row>
    <row r="2029" spans="1:2" x14ac:dyDescent="0.25">
      <c r="A2029" s="4">
        <v>2024</v>
      </c>
      <c r="B2029" s="3" t="str">
        <f>"00190371"</f>
        <v>00190371</v>
      </c>
    </row>
    <row r="2030" spans="1:2" x14ac:dyDescent="0.25">
      <c r="A2030" s="4">
        <v>2025</v>
      </c>
      <c r="B2030" s="3" t="str">
        <f>"00190395"</f>
        <v>00190395</v>
      </c>
    </row>
    <row r="2031" spans="1:2" x14ac:dyDescent="0.25">
      <c r="A2031" s="4">
        <v>2026</v>
      </c>
      <c r="B2031" s="3" t="str">
        <f>"00190401"</f>
        <v>00190401</v>
      </c>
    </row>
    <row r="2032" spans="1:2" x14ac:dyDescent="0.25">
      <c r="A2032" s="4">
        <v>2027</v>
      </c>
      <c r="B2032" s="3" t="str">
        <f>"00190452"</f>
        <v>00190452</v>
      </c>
    </row>
    <row r="2033" spans="1:2" x14ac:dyDescent="0.25">
      <c r="A2033" s="4">
        <v>2028</v>
      </c>
      <c r="B2033" s="3" t="str">
        <f>"00190565"</f>
        <v>00190565</v>
      </c>
    </row>
    <row r="2034" spans="1:2" x14ac:dyDescent="0.25">
      <c r="A2034" s="4">
        <v>2029</v>
      </c>
      <c r="B2034" s="3" t="str">
        <f>"00190638"</f>
        <v>00190638</v>
      </c>
    </row>
    <row r="2035" spans="1:2" x14ac:dyDescent="0.25">
      <c r="A2035" s="4">
        <v>2030</v>
      </c>
      <c r="B2035" s="3" t="str">
        <f>"00190767"</f>
        <v>00190767</v>
      </c>
    </row>
    <row r="2036" spans="1:2" x14ac:dyDescent="0.25">
      <c r="A2036" s="4">
        <v>2031</v>
      </c>
      <c r="B2036" s="3" t="str">
        <f>"00190822"</f>
        <v>00190822</v>
      </c>
    </row>
    <row r="2037" spans="1:2" x14ac:dyDescent="0.25">
      <c r="A2037" s="4">
        <v>2032</v>
      </c>
      <c r="B2037" s="3" t="str">
        <f>"00190871"</f>
        <v>00190871</v>
      </c>
    </row>
    <row r="2038" spans="1:2" x14ac:dyDescent="0.25">
      <c r="A2038" s="4">
        <v>2033</v>
      </c>
      <c r="B2038" s="3" t="str">
        <f>"00191154"</f>
        <v>00191154</v>
      </c>
    </row>
    <row r="2039" spans="1:2" x14ac:dyDescent="0.25">
      <c r="A2039" s="4">
        <v>2034</v>
      </c>
      <c r="B2039" s="3" t="str">
        <f>"00191289"</f>
        <v>00191289</v>
      </c>
    </row>
    <row r="2040" spans="1:2" x14ac:dyDescent="0.25">
      <c r="A2040" s="4">
        <v>2035</v>
      </c>
      <c r="B2040" s="3" t="str">
        <f>"00191424"</f>
        <v>00191424</v>
      </c>
    </row>
    <row r="2041" spans="1:2" x14ac:dyDescent="0.25">
      <c r="A2041" s="4">
        <v>2036</v>
      </c>
      <c r="B2041" s="3" t="str">
        <f>"00191681"</f>
        <v>00191681</v>
      </c>
    </row>
    <row r="2042" spans="1:2" x14ac:dyDescent="0.25">
      <c r="A2042" s="4">
        <v>2037</v>
      </c>
      <c r="B2042" s="3" t="str">
        <f>"00192056"</f>
        <v>00192056</v>
      </c>
    </row>
    <row r="2043" spans="1:2" x14ac:dyDescent="0.25">
      <c r="A2043" s="4">
        <v>2038</v>
      </c>
      <c r="B2043" s="3" t="str">
        <f>"00192300"</f>
        <v>00192300</v>
      </c>
    </row>
    <row r="2044" spans="1:2" x14ac:dyDescent="0.25">
      <c r="A2044" s="4">
        <v>2039</v>
      </c>
      <c r="B2044" s="3" t="str">
        <f>"00192492"</f>
        <v>00192492</v>
      </c>
    </row>
    <row r="2045" spans="1:2" x14ac:dyDescent="0.25">
      <c r="A2045" s="4">
        <v>2040</v>
      </c>
      <c r="B2045" s="3" t="str">
        <f>"00192552"</f>
        <v>00192552</v>
      </c>
    </row>
    <row r="2046" spans="1:2" x14ac:dyDescent="0.25">
      <c r="A2046" s="4">
        <v>2041</v>
      </c>
      <c r="B2046" s="3" t="str">
        <f>"00192595"</f>
        <v>00192595</v>
      </c>
    </row>
    <row r="2047" spans="1:2" x14ac:dyDescent="0.25">
      <c r="A2047" s="4">
        <v>2042</v>
      </c>
      <c r="B2047" s="3" t="str">
        <f>"00192677"</f>
        <v>00192677</v>
      </c>
    </row>
    <row r="2048" spans="1:2" x14ac:dyDescent="0.25">
      <c r="A2048" s="4">
        <v>2043</v>
      </c>
      <c r="B2048" s="3" t="str">
        <f>"00192766"</f>
        <v>00192766</v>
      </c>
    </row>
    <row r="2049" spans="1:2" x14ac:dyDescent="0.25">
      <c r="A2049" s="4">
        <v>2044</v>
      </c>
      <c r="B2049" s="3" t="str">
        <f>"00192831"</f>
        <v>00192831</v>
      </c>
    </row>
    <row r="2050" spans="1:2" x14ac:dyDescent="0.25">
      <c r="A2050" s="4">
        <v>2045</v>
      </c>
      <c r="B2050" s="3" t="str">
        <f>"00192856"</f>
        <v>00192856</v>
      </c>
    </row>
    <row r="2051" spans="1:2" x14ac:dyDescent="0.25">
      <c r="A2051" s="4">
        <v>2046</v>
      </c>
      <c r="B2051" s="3" t="str">
        <f>"00192887"</f>
        <v>00192887</v>
      </c>
    </row>
    <row r="2052" spans="1:2" x14ac:dyDescent="0.25">
      <c r="A2052" s="4">
        <v>2047</v>
      </c>
      <c r="B2052" s="3" t="str">
        <f>"00192898"</f>
        <v>00192898</v>
      </c>
    </row>
    <row r="2053" spans="1:2" x14ac:dyDescent="0.25">
      <c r="A2053" s="4">
        <v>2048</v>
      </c>
      <c r="B2053" s="3" t="str">
        <f>"00192938"</f>
        <v>00192938</v>
      </c>
    </row>
    <row r="2054" spans="1:2" x14ac:dyDescent="0.25">
      <c r="A2054" s="4">
        <v>2049</v>
      </c>
      <c r="B2054" s="3" t="str">
        <f>"00192975"</f>
        <v>00192975</v>
      </c>
    </row>
    <row r="2055" spans="1:2" x14ac:dyDescent="0.25">
      <c r="A2055" s="4">
        <v>2050</v>
      </c>
      <c r="B2055" s="3" t="str">
        <f>"00193016"</f>
        <v>00193016</v>
      </c>
    </row>
    <row r="2056" spans="1:2" x14ac:dyDescent="0.25">
      <c r="A2056" s="4">
        <v>2051</v>
      </c>
      <c r="B2056" s="3" t="str">
        <f>"00193090"</f>
        <v>00193090</v>
      </c>
    </row>
    <row r="2057" spans="1:2" x14ac:dyDescent="0.25">
      <c r="A2057" s="4">
        <v>2052</v>
      </c>
      <c r="B2057" s="3" t="str">
        <f>"00193168"</f>
        <v>00193168</v>
      </c>
    </row>
    <row r="2058" spans="1:2" x14ac:dyDescent="0.25">
      <c r="A2058" s="4">
        <v>2053</v>
      </c>
      <c r="B2058" s="3" t="str">
        <f>"00193257"</f>
        <v>00193257</v>
      </c>
    </row>
    <row r="2059" spans="1:2" x14ac:dyDescent="0.25">
      <c r="A2059" s="4">
        <v>2054</v>
      </c>
      <c r="B2059" s="3" t="str">
        <f>"00193326"</f>
        <v>00193326</v>
      </c>
    </row>
    <row r="2060" spans="1:2" x14ac:dyDescent="0.25">
      <c r="A2060" s="4">
        <v>2055</v>
      </c>
      <c r="B2060" s="3" t="str">
        <f>"00193346"</f>
        <v>00193346</v>
      </c>
    </row>
    <row r="2061" spans="1:2" x14ac:dyDescent="0.25">
      <c r="A2061" s="4">
        <v>2056</v>
      </c>
      <c r="B2061" s="3" t="str">
        <f>"00193370"</f>
        <v>00193370</v>
      </c>
    </row>
    <row r="2062" spans="1:2" x14ac:dyDescent="0.25">
      <c r="A2062" s="4">
        <v>2057</v>
      </c>
      <c r="B2062" s="3" t="str">
        <f>"00193445"</f>
        <v>00193445</v>
      </c>
    </row>
    <row r="2063" spans="1:2" x14ac:dyDescent="0.25">
      <c r="A2063" s="4">
        <v>2058</v>
      </c>
      <c r="B2063" s="3" t="str">
        <f>"00193508"</f>
        <v>00193508</v>
      </c>
    </row>
    <row r="2064" spans="1:2" x14ac:dyDescent="0.25">
      <c r="A2064" s="4">
        <v>2059</v>
      </c>
      <c r="B2064" s="3" t="str">
        <f>"00193537"</f>
        <v>00193537</v>
      </c>
    </row>
    <row r="2065" spans="1:2" x14ac:dyDescent="0.25">
      <c r="A2065" s="4">
        <v>2060</v>
      </c>
      <c r="B2065" s="3" t="str">
        <f>"00193545"</f>
        <v>00193545</v>
      </c>
    </row>
    <row r="2066" spans="1:2" x14ac:dyDescent="0.25">
      <c r="A2066" s="4">
        <v>2061</v>
      </c>
      <c r="B2066" s="3" t="str">
        <f>"00193586"</f>
        <v>00193586</v>
      </c>
    </row>
    <row r="2067" spans="1:2" x14ac:dyDescent="0.25">
      <c r="A2067" s="4">
        <v>2062</v>
      </c>
      <c r="B2067" s="3" t="str">
        <f>"00193761"</f>
        <v>00193761</v>
      </c>
    </row>
    <row r="2068" spans="1:2" x14ac:dyDescent="0.25">
      <c r="A2068" s="4">
        <v>2063</v>
      </c>
      <c r="B2068" s="3" t="str">
        <f>"00193848"</f>
        <v>00193848</v>
      </c>
    </row>
    <row r="2069" spans="1:2" x14ac:dyDescent="0.25">
      <c r="A2069" s="4">
        <v>2064</v>
      </c>
      <c r="B2069" s="3" t="str">
        <f>"00193885"</f>
        <v>00193885</v>
      </c>
    </row>
    <row r="2070" spans="1:2" x14ac:dyDescent="0.25">
      <c r="A2070" s="4">
        <v>2065</v>
      </c>
      <c r="B2070" s="3" t="str">
        <f>"00193890"</f>
        <v>00193890</v>
      </c>
    </row>
    <row r="2071" spans="1:2" x14ac:dyDescent="0.25">
      <c r="A2071" s="4">
        <v>2066</v>
      </c>
      <c r="B2071" s="3" t="str">
        <f>"00193901"</f>
        <v>00193901</v>
      </c>
    </row>
    <row r="2072" spans="1:2" x14ac:dyDescent="0.25">
      <c r="A2072" s="4">
        <v>2067</v>
      </c>
      <c r="B2072" s="3" t="str">
        <f>"00193956"</f>
        <v>00193956</v>
      </c>
    </row>
    <row r="2073" spans="1:2" x14ac:dyDescent="0.25">
      <c r="A2073" s="4">
        <v>2068</v>
      </c>
      <c r="B2073" s="3" t="str">
        <f>"00193984"</f>
        <v>00193984</v>
      </c>
    </row>
    <row r="2074" spans="1:2" x14ac:dyDescent="0.25">
      <c r="A2074" s="4">
        <v>2069</v>
      </c>
      <c r="B2074" s="3" t="str">
        <f>"00194180"</f>
        <v>00194180</v>
      </c>
    </row>
    <row r="2075" spans="1:2" x14ac:dyDescent="0.25">
      <c r="A2075" s="4">
        <v>2070</v>
      </c>
      <c r="B2075" s="3" t="str">
        <f>"00194211"</f>
        <v>00194211</v>
      </c>
    </row>
    <row r="2076" spans="1:2" x14ac:dyDescent="0.25">
      <c r="A2076" s="4">
        <v>2071</v>
      </c>
      <c r="B2076" s="3" t="str">
        <f>"00194648"</f>
        <v>00194648</v>
      </c>
    </row>
    <row r="2077" spans="1:2" x14ac:dyDescent="0.25">
      <c r="A2077" s="4">
        <v>2072</v>
      </c>
      <c r="B2077" s="3" t="str">
        <f>"00194680"</f>
        <v>00194680</v>
      </c>
    </row>
    <row r="2078" spans="1:2" x14ac:dyDescent="0.25">
      <c r="A2078" s="4">
        <v>2073</v>
      </c>
      <c r="B2078" s="3" t="str">
        <f>"00194704"</f>
        <v>00194704</v>
      </c>
    </row>
    <row r="2079" spans="1:2" x14ac:dyDescent="0.25">
      <c r="A2079" s="4">
        <v>2074</v>
      </c>
      <c r="B2079" s="3" t="str">
        <f>"00194706"</f>
        <v>00194706</v>
      </c>
    </row>
    <row r="2080" spans="1:2" x14ac:dyDescent="0.25">
      <c r="A2080" s="4">
        <v>2075</v>
      </c>
      <c r="B2080" s="3" t="str">
        <f>"00194758"</f>
        <v>00194758</v>
      </c>
    </row>
    <row r="2081" spans="1:2" x14ac:dyDescent="0.25">
      <c r="A2081" s="4">
        <v>2076</v>
      </c>
      <c r="B2081" s="3" t="str">
        <f>"00194762"</f>
        <v>00194762</v>
      </c>
    </row>
    <row r="2082" spans="1:2" x14ac:dyDescent="0.25">
      <c r="A2082" s="4">
        <v>2077</v>
      </c>
      <c r="B2082" s="3" t="str">
        <f>"00194792"</f>
        <v>00194792</v>
      </c>
    </row>
    <row r="2083" spans="1:2" x14ac:dyDescent="0.25">
      <c r="A2083" s="4">
        <v>2078</v>
      </c>
      <c r="B2083" s="3" t="str">
        <f>"00194808"</f>
        <v>00194808</v>
      </c>
    </row>
    <row r="2084" spans="1:2" x14ac:dyDescent="0.25">
      <c r="A2084" s="4">
        <v>2079</v>
      </c>
      <c r="B2084" s="3" t="str">
        <f>"00195001"</f>
        <v>00195001</v>
      </c>
    </row>
    <row r="2085" spans="1:2" x14ac:dyDescent="0.25">
      <c r="A2085" s="4">
        <v>2080</v>
      </c>
      <c r="B2085" s="3" t="str">
        <f>"00195041"</f>
        <v>00195041</v>
      </c>
    </row>
    <row r="2086" spans="1:2" x14ac:dyDescent="0.25">
      <c r="A2086" s="4">
        <v>2081</v>
      </c>
      <c r="B2086" s="3" t="str">
        <f>"00195082"</f>
        <v>00195082</v>
      </c>
    </row>
    <row r="2087" spans="1:2" x14ac:dyDescent="0.25">
      <c r="A2087" s="4">
        <v>2082</v>
      </c>
      <c r="B2087" s="3" t="str">
        <f>"00195105"</f>
        <v>00195105</v>
      </c>
    </row>
    <row r="2088" spans="1:2" x14ac:dyDescent="0.25">
      <c r="A2088" s="4">
        <v>2083</v>
      </c>
      <c r="B2088" s="3" t="str">
        <f>"00195167"</f>
        <v>00195167</v>
      </c>
    </row>
    <row r="2089" spans="1:2" x14ac:dyDescent="0.25">
      <c r="A2089" s="4">
        <v>2084</v>
      </c>
      <c r="B2089" s="3" t="str">
        <f>"00195200"</f>
        <v>00195200</v>
      </c>
    </row>
    <row r="2090" spans="1:2" x14ac:dyDescent="0.25">
      <c r="A2090" s="4">
        <v>2085</v>
      </c>
      <c r="B2090" s="3" t="str">
        <f>"00195227"</f>
        <v>00195227</v>
      </c>
    </row>
    <row r="2091" spans="1:2" x14ac:dyDescent="0.25">
      <c r="A2091" s="4">
        <v>2086</v>
      </c>
      <c r="B2091" s="3" t="str">
        <f>"00195254"</f>
        <v>00195254</v>
      </c>
    </row>
    <row r="2092" spans="1:2" x14ac:dyDescent="0.25">
      <c r="A2092" s="4">
        <v>2087</v>
      </c>
      <c r="B2092" s="3" t="str">
        <f>"00195587"</f>
        <v>00195587</v>
      </c>
    </row>
    <row r="2093" spans="1:2" x14ac:dyDescent="0.25">
      <c r="A2093" s="4">
        <v>2088</v>
      </c>
      <c r="B2093" s="3" t="str">
        <f>"00195725"</f>
        <v>00195725</v>
      </c>
    </row>
    <row r="2094" spans="1:2" x14ac:dyDescent="0.25">
      <c r="A2094" s="4">
        <v>2089</v>
      </c>
      <c r="B2094" s="3" t="str">
        <f>"00195736"</f>
        <v>00195736</v>
      </c>
    </row>
    <row r="2095" spans="1:2" x14ac:dyDescent="0.25">
      <c r="A2095" s="4">
        <v>2090</v>
      </c>
      <c r="B2095" s="3" t="str">
        <f>"00196058"</f>
        <v>00196058</v>
      </c>
    </row>
    <row r="2096" spans="1:2" x14ac:dyDescent="0.25">
      <c r="A2096" s="4">
        <v>2091</v>
      </c>
      <c r="B2096" s="3" t="str">
        <f>"00196105"</f>
        <v>00196105</v>
      </c>
    </row>
    <row r="2097" spans="1:2" x14ac:dyDescent="0.25">
      <c r="A2097" s="4">
        <v>2092</v>
      </c>
      <c r="B2097" s="3" t="str">
        <f>"00196132"</f>
        <v>00196132</v>
      </c>
    </row>
    <row r="2098" spans="1:2" x14ac:dyDescent="0.25">
      <c r="A2098" s="4">
        <v>2093</v>
      </c>
      <c r="B2098" s="3" t="str">
        <f>"00196266"</f>
        <v>00196266</v>
      </c>
    </row>
    <row r="2099" spans="1:2" x14ac:dyDescent="0.25">
      <c r="A2099" s="4">
        <v>2094</v>
      </c>
      <c r="B2099" s="3" t="str">
        <f>"00196331"</f>
        <v>00196331</v>
      </c>
    </row>
    <row r="2100" spans="1:2" x14ac:dyDescent="0.25">
      <c r="A2100" s="4">
        <v>2095</v>
      </c>
      <c r="B2100" s="3" t="str">
        <f>"00196390"</f>
        <v>00196390</v>
      </c>
    </row>
    <row r="2101" spans="1:2" x14ac:dyDescent="0.25">
      <c r="A2101" s="4">
        <v>2096</v>
      </c>
      <c r="B2101" s="3" t="str">
        <f>"00196391"</f>
        <v>00196391</v>
      </c>
    </row>
    <row r="2102" spans="1:2" x14ac:dyDescent="0.25">
      <c r="A2102" s="4">
        <v>2097</v>
      </c>
      <c r="B2102" s="3" t="str">
        <f>"00196499"</f>
        <v>00196499</v>
      </c>
    </row>
    <row r="2103" spans="1:2" x14ac:dyDescent="0.25">
      <c r="A2103" s="4">
        <v>2098</v>
      </c>
      <c r="B2103" s="3" t="str">
        <f>"00196514"</f>
        <v>00196514</v>
      </c>
    </row>
    <row r="2104" spans="1:2" x14ac:dyDescent="0.25">
      <c r="A2104" s="4">
        <v>2099</v>
      </c>
      <c r="B2104" s="3" t="str">
        <f>"00196567"</f>
        <v>00196567</v>
      </c>
    </row>
    <row r="2105" spans="1:2" x14ac:dyDescent="0.25">
      <c r="A2105" s="4">
        <v>2100</v>
      </c>
      <c r="B2105" s="3" t="str">
        <f>"00196626"</f>
        <v>00196626</v>
      </c>
    </row>
    <row r="2106" spans="1:2" x14ac:dyDescent="0.25">
      <c r="A2106" s="4">
        <v>2101</v>
      </c>
      <c r="B2106" s="3" t="str">
        <f>"00196640"</f>
        <v>00196640</v>
      </c>
    </row>
    <row r="2107" spans="1:2" x14ac:dyDescent="0.25">
      <c r="A2107" s="4">
        <v>2102</v>
      </c>
      <c r="B2107" s="3" t="str">
        <f>"00196697"</f>
        <v>00196697</v>
      </c>
    </row>
    <row r="2108" spans="1:2" x14ac:dyDescent="0.25">
      <c r="A2108" s="4">
        <v>2103</v>
      </c>
      <c r="B2108" s="3" t="str">
        <f>"00196795"</f>
        <v>00196795</v>
      </c>
    </row>
    <row r="2109" spans="1:2" x14ac:dyDescent="0.25">
      <c r="A2109" s="4">
        <v>2104</v>
      </c>
      <c r="B2109" s="3" t="str">
        <f>"00196899"</f>
        <v>00196899</v>
      </c>
    </row>
    <row r="2110" spans="1:2" x14ac:dyDescent="0.25">
      <c r="A2110" s="4">
        <v>2105</v>
      </c>
      <c r="B2110" s="3" t="str">
        <f>"00196902"</f>
        <v>00196902</v>
      </c>
    </row>
    <row r="2111" spans="1:2" x14ac:dyDescent="0.25">
      <c r="A2111" s="4">
        <v>2106</v>
      </c>
      <c r="B2111" s="3" t="str">
        <f>"00196966"</f>
        <v>00196966</v>
      </c>
    </row>
    <row r="2112" spans="1:2" x14ac:dyDescent="0.25">
      <c r="A2112" s="4">
        <v>2107</v>
      </c>
      <c r="B2112" s="3" t="str">
        <f>"00197045"</f>
        <v>00197045</v>
      </c>
    </row>
    <row r="2113" spans="1:2" x14ac:dyDescent="0.25">
      <c r="A2113" s="4">
        <v>2108</v>
      </c>
      <c r="B2113" s="3" t="str">
        <f>"00197048"</f>
        <v>00197048</v>
      </c>
    </row>
    <row r="2114" spans="1:2" x14ac:dyDescent="0.25">
      <c r="A2114" s="4">
        <v>2109</v>
      </c>
      <c r="B2114" s="3" t="str">
        <f>"00197063"</f>
        <v>00197063</v>
      </c>
    </row>
    <row r="2115" spans="1:2" x14ac:dyDescent="0.25">
      <c r="A2115" s="4">
        <v>2110</v>
      </c>
      <c r="B2115" s="3" t="str">
        <f>"00197174"</f>
        <v>00197174</v>
      </c>
    </row>
    <row r="2116" spans="1:2" x14ac:dyDescent="0.25">
      <c r="A2116" s="4">
        <v>2111</v>
      </c>
      <c r="B2116" s="3" t="str">
        <f>"00197206"</f>
        <v>00197206</v>
      </c>
    </row>
    <row r="2117" spans="1:2" x14ac:dyDescent="0.25">
      <c r="A2117" s="4">
        <v>2112</v>
      </c>
      <c r="B2117" s="3" t="str">
        <f>"00197280"</f>
        <v>00197280</v>
      </c>
    </row>
    <row r="2118" spans="1:2" x14ac:dyDescent="0.25">
      <c r="A2118" s="4">
        <v>2113</v>
      </c>
      <c r="B2118" s="3" t="str">
        <f>"00197416"</f>
        <v>00197416</v>
      </c>
    </row>
    <row r="2119" spans="1:2" x14ac:dyDescent="0.25">
      <c r="A2119" s="4">
        <v>2114</v>
      </c>
      <c r="B2119" s="3" t="str">
        <f>"00197502"</f>
        <v>00197502</v>
      </c>
    </row>
    <row r="2120" spans="1:2" x14ac:dyDescent="0.25">
      <c r="A2120" s="4">
        <v>2115</v>
      </c>
      <c r="B2120" s="3" t="str">
        <f>"00197633"</f>
        <v>00197633</v>
      </c>
    </row>
    <row r="2121" spans="1:2" x14ac:dyDescent="0.25">
      <c r="A2121" s="4">
        <v>2116</v>
      </c>
      <c r="B2121" s="3" t="str">
        <f>"00197649"</f>
        <v>00197649</v>
      </c>
    </row>
    <row r="2122" spans="1:2" x14ac:dyDescent="0.25">
      <c r="A2122" s="4">
        <v>2117</v>
      </c>
      <c r="B2122" s="3" t="str">
        <f>"00197730"</f>
        <v>00197730</v>
      </c>
    </row>
    <row r="2123" spans="1:2" x14ac:dyDescent="0.25">
      <c r="A2123" s="4">
        <v>2118</v>
      </c>
      <c r="B2123" s="3" t="str">
        <f>"00197755"</f>
        <v>00197755</v>
      </c>
    </row>
    <row r="2124" spans="1:2" x14ac:dyDescent="0.25">
      <c r="A2124" s="4">
        <v>2119</v>
      </c>
      <c r="B2124" s="3" t="str">
        <f>"00197767"</f>
        <v>00197767</v>
      </c>
    </row>
    <row r="2125" spans="1:2" x14ac:dyDescent="0.25">
      <c r="A2125" s="4">
        <v>2120</v>
      </c>
      <c r="B2125" s="3" t="str">
        <f>"00197813"</f>
        <v>00197813</v>
      </c>
    </row>
    <row r="2126" spans="1:2" x14ac:dyDescent="0.25">
      <c r="A2126" s="4">
        <v>2121</v>
      </c>
      <c r="B2126" s="3" t="str">
        <f>"00197850"</f>
        <v>00197850</v>
      </c>
    </row>
    <row r="2127" spans="1:2" x14ac:dyDescent="0.25">
      <c r="A2127" s="4">
        <v>2122</v>
      </c>
      <c r="B2127" s="3" t="str">
        <f>"00198057"</f>
        <v>00198057</v>
      </c>
    </row>
    <row r="2128" spans="1:2" x14ac:dyDescent="0.25">
      <c r="A2128" s="4">
        <v>2123</v>
      </c>
      <c r="B2128" s="3" t="str">
        <f>"00198074"</f>
        <v>00198074</v>
      </c>
    </row>
    <row r="2129" spans="1:2" x14ac:dyDescent="0.25">
      <c r="A2129" s="4">
        <v>2124</v>
      </c>
      <c r="B2129" s="3" t="str">
        <f>"00198098"</f>
        <v>00198098</v>
      </c>
    </row>
    <row r="2130" spans="1:2" x14ac:dyDescent="0.25">
      <c r="A2130" s="4">
        <v>2125</v>
      </c>
      <c r="B2130" s="3" t="str">
        <f>"00198155"</f>
        <v>00198155</v>
      </c>
    </row>
    <row r="2131" spans="1:2" x14ac:dyDescent="0.25">
      <c r="A2131" s="4">
        <v>2126</v>
      </c>
      <c r="B2131" s="3" t="str">
        <f>"00198206"</f>
        <v>00198206</v>
      </c>
    </row>
    <row r="2132" spans="1:2" x14ac:dyDescent="0.25">
      <c r="A2132" s="4">
        <v>2127</v>
      </c>
      <c r="B2132" s="3" t="str">
        <f>"00198222"</f>
        <v>00198222</v>
      </c>
    </row>
    <row r="2133" spans="1:2" x14ac:dyDescent="0.25">
      <c r="A2133" s="4">
        <v>2128</v>
      </c>
      <c r="B2133" s="3" t="str">
        <f>"00198245"</f>
        <v>00198245</v>
      </c>
    </row>
    <row r="2134" spans="1:2" x14ac:dyDescent="0.25">
      <c r="A2134" s="4">
        <v>2129</v>
      </c>
      <c r="B2134" s="3" t="str">
        <f>"00198246"</f>
        <v>00198246</v>
      </c>
    </row>
    <row r="2135" spans="1:2" x14ac:dyDescent="0.25">
      <c r="A2135" s="4">
        <v>2130</v>
      </c>
      <c r="B2135" s="3" t="str">
        <f>"00198252"</f>
        <v>00198252</v>
      </c>
    </row>
    <row r="2136" spans="1:2" x14ac:dyDescent="0.25">
      <c r="A2136" s="4">
        <v>2131</v>
      </c>
      <c r="B2136" s="3" t="str">
        <f>"00198401"</f>
        <v>00198401</v>
      </c>
    </row>
    <row r="2137" spans="1:2" x14ac:dyDescent="0.25">
      <c r="A2137" s="4">
        <v>2132</v>
      </c>
      <c r="B2137" s="3" t="str">
        <f>"00198499"</f>
        <v>00198499</v>
      </c>
    </row>
    <row r="2138" spans="1:2" x14ac:dyDescent="0.25">
      <c r="A2138" s="4">
        <v>2133</v>
      </c>
      <c r="B2138" s="3" t="str">
        <f>"00198610"</f>
        <v>00198610</v>
      </c>
    </row>
    <row r="2139" spans="1:2" x14ac:dyDescent="0.25">
      <c r="A2139" s="4">
        <v>2134</v>
      </c>
      <c r="B2139" s="3" t="str">
        <f>"00198624"</f>
        <v>00198624</v>
      </c>
    </row>
    <row r="2140" spans="1:2" x14ac:dyDescent="0.25">
      <c r="A2140" s="4">
        <v>2135</v>
      </c>
      <c r="B2140" s="3" t="str">
        <f>"00198630"</f>
        <v>00198630</v>
      </c>
    </row>
    <row r="2141" spans="1:2" x14ac:dyDescent="0.25">
      <c r="A2141" s="4">
        <v>2136</v>
      </c>
      <c r="B2141" s="3" t="str">
        <f>"00198855"</f>
        <v>00198855</v>
      </c>
    </row>
    <row r="2142" spans="1:2" x14ac:dyDescent="0.25">
      <c r="A2142" s="4">
        <v>2137</v>
      </c>
      <c r="B2142" s="3" t="str">
        <f>"00198919"</f>
        <v>00198919</v>
      </c>
    </row>
    <row r="2143" spans="1:2" x14ac:dyDescent="0.25">
      <c r="A2143" s="4">
        <v>2138</v>
      </c>
      <c r="B2143" s="3" t="str">
        <f>"00198978"</f>
        <v>00198978</v>
      </c>
    </row>
    <row r="2144" spans="1:2" x14ac:dyDescent="0.25">
      <c r="A2144" s="4">
        <v>2139</v>
      </c>
      <c r="B2144" s="3" t="str">
        <f>"00199041"</f>
        <v>00199041</v>
      </c>
    </row>
    <row r="2145" spans="1:2" x14ac:dyDescent="0.25">
      <c r="A2145" s="4">
        <v>2140</v>
      </c>
      <c r="B2145" s="3" t="str">
        <f>"00199045"</f>
        <v>00199045</v>
      </c>
    </row>
    <row r="2146" spans="1:2" s="20" customFormat="1" x14ac:dyDescent="0.25">
      <c r="A2146" s="4">
        <v>2141</v>
      </c>
      <c r="B2146" s="18" t="s">
        <v>9</v>
      </c>
    </row>
    <row r="2147" spans="1:2" x14ac:dyDescent="0.25">
      <c r="A2147" s="4">
        <v>2142</v>
      </c>
      <c r="B2147" s="3" t="str">
        <f>"00199236"</f>
        <v>00199236</v>
      </c>
    </row>
    <row r="2148" spans="1:2" x14ac:dyDescent="0.25">
      <c r="A2148" s="4">
        <v>2143</v>
      </c>
      <c r="B2148" s="3" t="str">
        <f>"00199306"</f>
        <v>00199306</v>
      </c>
    </row>
    <row r="2149" spans="1:2" x14ac:dyDescent="0.25">
      <c r="A2149" s="4">
        <v>2144</v>
      </c>
      <c r="B2149" s="3" t="str">
        <f>"00199443"</f>
        <v>00199443</v>
      </c>
    </row>
    <row r="2150" spans="1:2" x14ac:dyDescent="0.25">
      <c r="A2150" s="4">
        <v>2145</v>
      </c>
      <c r="B2150" s="3" t="str">
        <f>"00199456"</f>
        <v>00199456</v>
      </c>
    </row>
    <row r="2151" spans="1:2" x14ac:dyDescent="0.25">
      <c r="A2151" s="4">
        <v>2146</v>
      </c>
      <c r="B2151" s="3" t="str">
        <f>"00199473"</f>
        <v>00199473</v>
      </c>
    </row>
    <row r="2152" spans="1:2" x14ac:dyDescent="0.25">
      <c r="A2152" s="4">
        <v>2147</v>
      </c>
      <c r="B2152" s="3" t="str">
        <f>"00199551"</f>
        <v>00199551</v>
      </c>
    </row>
    <row r="2153" spans="1:2" x14ac:dyDescent="0.25">
      <c r="A2153" s="4">
        <v>2148</v>
      </c>
      <c r="B2153" s="3" t="str">
        <f>"00199608"</f>
        <v>00199608</v>
      </c>
    </row>
    <row r="2154" spans="1:2" x14ac:dyDescent="0.25">
      <c r="A2154" s="4">
        <v>2149</v>
      </c>
      <c r="B2154" s="3" t="str">
        <f>"00199627"</f>
        <v>00199627</v>
      </c>
    </row>
    <row r="2155" spans="1:2" x14ac:dyDescent="0.25">
      <c r="A2155" s="4">
        <v>2150</v>
      </c>
      <c r="B2155" s="3" t="str">
        <f>"00199777"</f>
        <v>00199777</v>
      </c>
    </row>
    <row r="2156" spans="1:2" x14ac:dyDescent="0.25">
      <c r="A2156" s="4">
        <v>2151</v>
      </c>
      <c r="B2156" s="3" t="str">
        <f>"00199789"</f>
        <v>00199789</v>
      </c>
    </row>
    <row r="2157" spans="1:2" x14ac:dyDescent="0.25">
      <c r="A2157" s="4">
        <v>2152</v>
      </c>
      <c r="B2157" s="3" t="str">
        <f>"00199855"</f>
        <v>00199855</v>
      </c>
    </row>
    <row r="2158" spans="1:2" x14ac:dyDescent="0.25">
      <c r="A2158" s="4">
        <v>2153</v>
      </c>
      <c r="B2158" s="3" t="str">
        <f>"00199857"</f>
        <v>00199857</v>
      </c>
    </row>
    <row r="2159" spans="1:2" x14ac:dyDescent="0.25">
      <c r="A2159" s="4">
        <v>2154</v>
      </c>
      <c r="B2159" s="3" t="str">
        <f>"00200020"</f>
        <v>00200020</v>
      </c>
    </row>
    <row r="2160" spans="1:2" x14ac:dyDescent="0.25">
      <c r="A2160" s="4">
        <v>2155</v>
      </c>
      <c r="B2160" s="3" t="str">
        <f>"00200052"</f>
        <v>00200052</v>
      </c>
    </row>
    <row r="2161" spans="1:2" x14ac:dyDescent="0.25">
      <c r="A2161" s="4">
        <v>2156</v>
      </c>
      <c r="B2161" s="3" t="str">
        <f>"00200286"</f>
        <v>00200286</v>
      </c>
    </row>
    <row r="2162" spans="1:2" x14ac:dyDescent="0.25">
      <c r="A2162" s="4">
        <v>2157</v>
      </c>
      <c r="B2162" s="3" t="str">
        <f>"00200405"</f>
        <v>00200405</v>
      </c>
    </row>
    <row r="2163" spans="1:2" x14ac:dyDescent="0.25">
      <c r="A2163" s="4">
        <v>2158</v>
      </c>
      <c r="B2163" s="3" t="str">
        <f>"00200643"</f>
        <v>00200643</v>
      </c>
    </row>
    <row r="2164" spans="1:2" x14ac:dyDescent="0.25">
      <c r="A2164" s="4">
        <v>2159</v>
      </c>
      <c r="B2164" s="3" t="str">
        <f>"00200648"</f>
        <v>00200648</v>
      </c>
    </row>
    <row r="2165" spans="1:2" x14ac:dyDescent="0.25">
      <c r="A2165" s="4">
        <v>2160</v>
      </c>
      <c r="B2165" s="3" t="str">
        <f>"00200717"</f>
        <v>00200717</v>
      </c>
    </row>
    <row r="2166" spans="1:2" x14ac:dyDescent="0.25">
      <c r="A2166" s="4">
        <v>2161</v>
      </c>
      <c r="B2166" s="3" t="str">
        <f>"00200766"</f>
        <v>00200766</v>
      </c>
    </row>
    <row r="2167" spans="1:2" x14ac:dyDescent="0.25">
      <c r="A2167" s="4">
        <v>2162</v>
      </c>
      <c r="B2167" s="3" t="str">
        <f>"00200810"</f>
        <v>00200810</v>
      </c>
    </row>
    <row r="2168" spans="1:2" x14ac:dyDescent="0.25">
      <c r="A2168" s="4">
        <v>2163</v>
      </c>
      <c r="B2168" s="3" t="str">
        <f>"00200865"</f>
        <v>00200865</v>
      </c>
    </row>
    <row r="2169" spans="1:2" x14ac:dyDescent="0.25">
      <c r="A2169" s="4">
        <v>2164</v>
      </c>
      <c r="B2169" s="3" t="str">
        <f>"00200907"</f>
        <v>00200907</v>
      </c>
    </row>
    <row r="2170" spans="1:2" x14ac:dyDescent="0.25">
      <c r="A2170" s="4">
        <v>2165</v>
      </c>
      <c r="B2170" s="3" t="str">
        <f>"00200929"</f>
        <v>00200929</v>
      </c>
    </row>
    <row r="2171" spans="1:2" x14ac:dyDescent="0.25">
      <c r="A2171" s="4">
        <v>2166</v>
      </c>
      <c r="B2171" s="3" t="str">
        <f>"00200934"</f>
        <v>00200934</v>
      </c>
    </row>
    <row r="2172" spans="1:2" x14ac:dyDescent="0.25">
      <c r="A2172" s="4">
        <v>2167</v>
      </c>
      <c r="B2172" s="3" t="str">
        <f>"00201010"</f>
        <v>00201010</v>
      </c>
    </row>
    <row r="2173" spans="1:2" x14ac:dyDescent="0.25">
      <c r="A2173" s="4">
        <v>2168</v>
      </c>
      <c r="B2173" s="3" t="str">
        <f>"00201046"</f>
        <v>00201046</v>
      </c>
    </row>
    <row r="2174" spans="1:2" x14ac:dyDescent="0.25">
      <c r="A2174" s="4">
        <v>2169</v>
      </c>
      <c r="B2174" s="3" t="str">
        <f>"00201195"</f>
        <v>00201195</v>
      </c>
    </row>
    <row r="2175" spans="1:2" x14ac:dyDescent="0.25">
      <c r="A2175" s="4">
        <v>2170</v>
      </c>
      <c r="B2175" s="3" t="str">
        <f>"00201222"</f>
        <v>00201222</v>
      </c>
    </row>
    <row r="2176" spans="1:2" x14ac:dyDescent="0.25">
      <c r="A2176" s="4">
        <v>2171</v>
      </c>
      <c r="B2176" s="3" t="str">
        <f>"00201277"</f>
        <v>00201277</v>
      </c>
    </row>
    <row r="2177" spans="1:2" x14ac:dyDescent="0.25">
      <c r="A2177" s="4">
        <v>2172</v>
      </c>
      <c r="B2177" s="3" t="str">
        <f>"00201435"</f>
        <v>00201435</v>
      </c>
    </row>
    <row r="2178" spans="1:2" x14ac:dyDescent="0.25">
      <c r="A2178" s="4">
        <v>2173</v>
      </c>
      <c r="B2178" s="3" t="str">
        <f>"00201436"</f>
        <v>00201436</v>
      </c>
    </row>
    <row r="2179" spans="1:2" x14ac:dyDescent="0.25">
      <c r="A2179" s="4">
        <v>2174</v>
      </c>
      <c r="B2179" s="3" t="str">
        <f>"00201576"</f>
        <v>00201576</v>
      </c>
    </row>
    <row r="2180" spans="1:2" x14ac:dyDescent="0.25">
      <c r="A2180" s="4">
        <v>2175</v>
      </c>
      <c r="B2180" s="3" t="str">
        <f>"00201677"</f>
        <v>00201677</v>
      </c>
    </row>
    <row r="2181" spans="1:2" x14ac:dyDescent="0.25">
      <c r="A2181" s="4">
        <v>2176</v>
      </c>
      <c r="B2181" s="3" t="str">
        <f>"00201731"</f>
        <v>00201731</v>
      </c>
    </row>
    <row r="2182" spans="1:2" x14ac:dyDescent="0.25">
      <c r="A2182" s="4">
        <v>2177</v>
      </c>
      <c r="B2182" s="3" t="str">
        <f>"00201732"</f>
        <v>00201732</v>
      </c>
    </row>
    <row r="2183" spans="1:2" x14ac:dyDescent="0.25">
      <c r="A2183" s="4">
        <v>2178</v>
      </c>
      <c r="B2183" s="3" t="str">
        <f>"00201829"</f>
        <v>00201829</v>
      </c>
    </row>
    <row r="2184" spans="1:2" x14ac:dyDescent="0.25">
      <c r="A2184" s="4">
        <v>2179</v>
      </c>
      <c r="B2184" s="3" t="str">
        <f>"00201881"</f>
        <v>00201881</v>
      </c>
    </row>
    <row r="2185" spans="1:2" x14ac:dyDescent="0.25">
      <c r="A2185" s="4">
        <v>2180</v>
      </c>
      <c r="B2185" s="3" t="str">
        <f>"00201894"</f>
        <v>00201894</v>
      </c>
    </row>
    <row r="2186" spans="1:2" x14ac:dyDescent="0.25">
      <c r="A2186" s="4">
        <v>2181</v>
      </c>
      <c r="B2186" s="3" t="str">
        <f>"00201895"</f>
        <v>00201895</v>
      </c>
    </row>
    <row r="2187" spans="1:2" x14ac:dyDescent="0.25">
      <c r="A2187" s="4">
        <v>2182</v>
      </c>
      <c r="B2187" s="3" t="str">
        <f>"00201919"</f>
        <v>00201919</v>
      </c>
    </row>
    <row r="2188" spans="1:2" x14ac:dyDescent="0.25">
      <c r="A2188" s="4">
        <v>2183</v>
      </c>
      <c r="B2188" s="3" t="str">
        <f>"00202000"</f>
        <v>00202000</v>
      </c>
    </row>
    <row r="2189" spans="1:2" x14ac:dyDescent="0.25">
      <c r="A2189" s="4">
        <v>2184</v>
      </c>
      <c r="B2189" s="3" t="str">
        <f>"00202005"</f>
        <v>00202005</v>
      </c>
    </row>
    <row r="2190" spans="1:2" x14ac:dyDescent="0.25">
      <c r="A2190" s="4">
        <v>2185</v>
      </c>
      <c r="B2190" s="3" t="str">
        <f>"00202026"</f>
        <v>00202026</v>
      </c>
    </row>
    <row r="2191" spans="1:2" x14ac:dyDescent="0.25">
      <c r="A2191" s="4">
        <v>2186</v>
      </c>
      <c r="B2191" s="3" t="str">
        <f>"00202030"</f>
        <v>00202030</v>
      </c>
    </row>
    <row r="2192" spans="1:2" x14ac:dyDescent="0.25">
      <c r="A2192" s="4">
        <v>2187</v>
      </c>
      <c r="B2192" s="3" t="str">
        <f>"00202054"</f>
        <v>00202054</v>
      </c>
    </row>
    <row r="2193" spans="1:2" x14ac:dyDescent="0.25">
      <c r="A2193" s="4">
        <v>2188</v>
      </c>
      <c r="B2193" s="3" t="str">
        <f>"00202089"</f>
        <v>00202089</v>
      </c>
    </row>
    <row r="2194" spans="1:2" x14ac:dyDescent="0.25">
      <c r="A2194" s="4">
        <v>2189</v>
      </c>
      <c r="B2194" s="3" t="str">
        <f>"00202113"</f>
        <v>00202113</v>
      </c>
    </row>
    <row r="2195" spans="1:2" x14ac:dyDescent="0.25">
      <c r="A2195" s="4">
        <v>2190</v>
      </c>
      <c r="B2195" s="3" t="str">
        <f>"00202115"</f>
        <v>00202115</v>
      </c>
    </row>
    <row r="2196" spans="1:2" x14ac:dyDescent="0.25">
      <c r="A2196" s="4">
        <v>2191</v>
      </c>
      <c r="B2196" s="3" t="str">
        <f>"00202134"</f>
        <v>00202134</v>
      </c>
    </row>
    <row r="2197" spans="1:2" x14ac:dyDescent="0.25">
      <c r="A2197" s="4">
        <v>2192</v>
      </c>
      <c r="B2197" s="3" t="str">
        <f>"00202151"</f>
        <v>00202151</v>
      </c>
    </row>
    <row r="2198" spans="1:2" x14ac:dyDescent="0.25">
      <c r="A2198" s="4">
        <v>2193</v>
      </c>
      <c r="B2198" s="3" t="str">
        <f>"00202205"</f>
        <v>00202205</v>
      </c>
    </row>
    <row r="2199" spans="1:2" x14ac:dyDescent="0.25">
      <c r="A2199" s="4">
        <v>2194</v>
      </c>
      <c r="B2199" s="3" t="str">
        <f>"00202262"</f>
        <v>00202262</v>
      </c>
    </row>
    <row r="2200" spans="1:2" x14ac:dyDescent="0.25">
      <c r="A2200" s="4">
        <v>2195</v>
      </c>
      <c r="B2200" s="3" t="str">
        <f>"00202270"</f>
        <v>00202270</v>
      </c>
    </row>
    <row r="2201" spans="1:2" x14ac:dyDescent="0.25">
      <c r="A2201" s="4">
        <v>2196</v>
      </c>
      <c r="B2201" s="3" t="str">
        <f>"00202499"</f>
        <v>00202499</v>
      </c>
    </row>
    <row r="2202" spans="1:2" x14ac:dyDescent="0.25">
      <c r="A2202" s="4">
        <v>2197</v>
      </c>
      <c r="B2202" s="3" t="str">
        <f>"00202532"</f>
        <v>00202532</v>
      </c>
    </row>
    <row r="2203" spans="1:2" x14ac:dyDescent="0.25">
      <c r="A2203" s="4">
        <v>2198</v>
      </c>
      <c r="B2203" s="3" t="str">
        <f>"00202602"</f>
        <v>00202602</v>
      </c>
    </row>
    <row r="2204" spans="1:2" x14ac:dyDescent="0.25">
      <c r="A2204" s="4">
        <v>2199</v>
      </c>
      <c r="B2204" s="3" t="str">
        <f>"00202613"</f>
        <v>00202613</v>
      </c>
    </row>
    <row r="2205" spans="1:2" x14ac:dyDescent="0.25">
      <c r="A2205" s="4">
        <v>2200</v>
      </c>
      <c r="B2205" s="3" t="str">
        <f>"00202644"</f>
        <v>00202644</v>
      </c>
    </row>
    <row r="2206" spans="1:2" x14ac:dyDescent="0.25">
      <c r="A2206" s="4">
        <v>2201</v>
      </c>
      <c r="B2206" s="3" t="str">
        <f>"00202668"</f>
        <v>00202668</v>
      </c>
    </row>
    <row r="2207" spans="1:2" x14ac:dyDescent="0.25">
      <c r="A2207" s="4">
        <v>2202</v>
      </c>
      <c r="B2207" s="3" t="str">
        <f>"00202756"</f>
        <v>00202756</v>
      </c>
    </row>
    <row r="2208" spans="1:2" x14ac:dyDescent="0.25">
      <c r="A2208" s="4">
        <v>2203</v>
      </c>
      <c r="B2208" s="3" t="str">
        <f>"00202758"</f>
        <v>00202758</v>
      </c>
    </row>
    <row r="2209" spans="1:2" x14ac:dyDescent="0.25">
      <c r="A2209" s="4">
        <v>2204</v>
      </c>
      <c r="B2209" s="3" t="str">
        <f>"00202802"</f>
        <v>00202802</v>
      </c>
    </row>
    <row r="2210" spans="1:2" x14ac:dyDescent="0.25">
      <c r="A2210" s="4">
        <v>2205</v>
      </c>
      <c r="B2210" s="3" t="str">
        <f>"00202852"</f>
        <v>00202852</v>
      </c>
    </row>
    <row r="2211" spans="1:2" x14ac:dyDescent="0.25">
      <c r="A2211" s="4">
        <v>2206</v>
      </c>
      <c r="B2211" s="3" t="str">
        <f>"00202894"</f>
        <v>00202894</v>
      </c>
    </row>
    <row r="2212" spans="1:2" x14ac:dyDescent="0.25">
      <c r="A2212" s="4">
        <v>2207</v>
      </c>
      <c r="B2212" s="3" t="str">
        <f>"00202905"</f>
        <v>00202905</v>
      </c>
    </row>
    <row r="2213" spans="1:2" x14ac:dyDescent="0.25">
      <c r="A2213" s="4">
        <v>2208</v>
      </c>
      <c r="B2213" s="3" t="str">
        <f>"00203035"</f>
        <v>00203035</v>
      </c>
    </row>
    <row r="2214" spans="1:2" x14ac:dyDescent="0.25">
      <c r="A2214" s="4">
        <v>2209</v>
      </c>
      <c r="B2214" s="3" t="str">
        <f>"00203100"</f>
        <v>00203100</v>
      </c>
    </row>
    <row r="2215" spans="1:2" x14ac:dyDescent="0.25">
      <c r="A2215" s="4">
        <v>2210</v>
      </c>
      <c r="B2215" s="3" t="str">
        <f>"00203157"</f>
        <v>00203157</v>
      </c>
    </row>
    <row r="2216" spans="1:2" x14ac:dyDescent="0.25">
      <c r="A2216" s="4">
        <v>2211</v>
      </c>
      <c r="B2216" s="3" t="str">
        <f>"00203177"</f>
        <v>00203177</v>
      </c>
    </row>
    <row r="2217" spans="1:2" x14ac:dyDescent="0.25">
      <c r="A2217" s="4">
        <v>2212</v>
      </c>
      <c r="B2217" s="3" t="str">
        <f>"00203182"</f>
        <v>00203182</v>
      </c>
    </row>
    <row r="2218" spans="1:2" x14ac:dyDescent="0.25">
      <c r="A2218" s="4">
        <v>2213</v>
      </c>
      <c r="B2218" s="3" t="str">
        <f>"00203216"</f>
        <v>00203216</v>
      </c>
    </row>
    <row r="2219" spans="1:2" x14ac:dyDescent="0.25">
      <c r="A2219" s="4">
        <v>2214</v>
      </c>
      <c r="B2219" s="3" t="str">
        <f>"00203310"</f>
        <v>00203310</v>
      </c>
    </row>
    <row r="2220" spans="1:2" x14ac:dyDescent="0.25">
      <c r="A2220" s="4">
        <v>2215</v>
      </c>
      <c r="B2220" s="3" t="str">
        <f>"00203316"</f>
        <v>00203316</v>
      </c>
    </row>
    <row r="2221" spans="1:2" x14ac:dyDescent="0.25">
      <c r="A2221" s="4">
        <v>2216</v>
      </c>
      <c r="B2221" s="3" t="str">
        <f>"00203325"</f>
        <v>00203325</v>
      </c>
    </row>
    <row r="2222" spans="1:2" x14ac:dyDescent="0.25">
      <c r="A2222" s="4">
        <v>2217</v>
      </c>
      <c r="B2222" s="3" t="str">
        <f>"00203353"</f>
        <v>00203353</v>
      </c>
    </row>
    <row r="2223" spans="1:2" x14ac:dyDescent="0.25">
      <c r="A2223" s="4">
        <v>2218</v>
      </c>
      <c r="B2223" s="3" t="str">
        <f>"00203592"</f>
        <v>00203592</v>
      </c>
    </row>
    <row r="2224" spans="1:2" x14ac:dyDescent="0.25">
      <c r="A2224" s="4">
        <v>2219</v>
      </c>
      <c r="B2224" s="3" t="str">
        <f>"00203745"</f>
        <v>00203745</v>
      </c>
    </row>
    <row r="2225" spans="1:2" x14ac:dyDescent="0.25">
      <c r="A2225" s="4">
        <v>2220</v>
      </c>
      <c r="B2225" s="3" t="str">
        <f>"00203770"</f>
        <v>00203770</v>
      </c>
    </row>
    <row r="2226" spans="1:2" x14ac:dyDescent="0.25">
      <c r="A2226" s="4">
        <v>2221</v>
      </c>
      <c r="B2226" s="3" t="str">
        <f>"00203820"</f>
        <v>00203820</v>
      </c>
    </row>
    <row r="2227" spans="1:2" x14ac:dyDescent="0.25">
      <c r="A2227" s="4">
        <v>2222</v>
      </c>
      <c r="B2227" s="3" t="str">
        <f>"00205277"</f>
        <v>00205277</v>
      </c>
    </row>
    <row r="2228" spans="1:2" x14ac:dyDescent="0.25">
      <c r="A2228" s="4">
        <v>2223</v>
      </c>
      <c r="B2228" s="3" t="str">
        <f>"00205510"</f>
        <v>00205510</v>
      </c>
    </row>
    <row r="2229" spans="1:2" x14ac:dyDescent="0.25">
      <c r="A2229" s="4">
        <v>2224</v>
      </c>
      <c r="B2229" s="3" t="str">
        <f>"00205524"</f>
        <v>00205524</v>
      </c>
    </row>
    <row r="2230" spans="1:2" x14ac:dyDescent="0.25">
      <c r="A2230" s="4">
        <v>2225</v>
      </c>
      <c r="B2230" s="3" t="str">
        <f>"00205596"</f>
        <v>00205596</v>
      </c>
    </row>
    <row r="2231" spans="1:2" x14ac:dyDescent="0.25">
      <c r="A2231" s="4">
        <v>2226</v>
      </c>
      <c r="B2231" s="3" t="str">
        <f>"00205619"</f>
        <v>00205619</v>
      </c>
    </row>
    <row r="2232" spans="1:2" x14ac:dyDescent="0.25">
      <c r="A2232" s="4">
        <v>2227</v>
      </c>
      <c r="B2232" s="3" t="str">
        <f>"00205635"</f>
        <v>00205635</v>
      </c>
    </row>
    <row r="2233" spans="1:2" x14ac:dyDescent="0.25">
      <c r="A2233" s="4">
        <v>2228</v>
      </c>
      <c r="B2233" s="3" t="str">
        <f>"00205663"</f>
        <v>00205663</v>
      </c>
    </row>
    <row r="2234" spans="1:2" x14ac:dyDescent="0.25">
      <c r="A2234" s="4">
        <v>2229</v>
      </c>
      <c r="B2234" s="3" t="str">
        <f>"00205689"</f>
        <v>00205689</v>
      </c>
    </row>
    <row r="2235" spans="1:2" x14ac:dyDescent="0.25">
      <c r="A2235" s="4">
        <v>2230</v>
      </c>
      <c r="B2235" s="3" t="str">
        <f>"00205704"</f>
        <v>00205704</v>
      </c>
    </row>
    <row r="2236" spans="1:2" x14ac:dyDescent="0.25">
      <c r="A2236" s="4">
        <v>2231</v>
      </c>
      <c r="B2236" s="3" t="str">
        <f>"00205721"</f>
        <v>00205721</v>
      </c>
    </row>
    <row r="2237" spans="1:2" x14ac:dyDescent="0.25">
      <c r="A2237" s="4">
        <v>2232</v>
      </c>
      <c r="B2237" s="3" t="str">
        <f>"00205760"</f>
        <v>00205760</v>
      </c>
    </row>
    <row r="2238" spans="1:2" x14ac:dyDescent="0.25">
      <c r="A2238" s="4">
        <v>2233</v>
      </c>
      <c r="B2238" s="3" t="str">
        <f>"00205815"</f>
        <v>00205815</v>
      </c>
    </row>
    <row r="2239" spans="1:2" x14ac:dyDescent="0.25">
      <c r="A2239" s="4">
        <v>2234</v>
      </c>
      <c r="B2239" s="3" t="str">
        <f>"00205900"</f>
        <v>00205900</v>
      </c>
    </row>
    <row r="2240" spans="1:2" x14ac:dyDescent="0.25">
      <c r="A2240" s="4">
        <v>2235</v>
      </c>
      <c r="B2240" s="3" t="str">
        <f>"00205951"</f>
        <v>00205951</v>
      </c>
    </row>
    <row r="2241" spans="1:2" x14ac:dyDescent="0.25">
      <c r="A2241" s="4">
        <v>2236</v>
      </c>
      <c r="B2241" s="3" t="str">
        <f>"00205982"</f>
        <v>00205982</v>
      </c>
    </row>
    <row r="2242" spans="1:2" x14ac:dyDescent="0.25">
      <c r="A2242" s="4">
        <v>2237</v>
      </c>
      <c r="B2242" s="3" t="str">
        <f>"00205991"</f>
        <v>00205991</v>
      </c>
    </row>
    <row r="2243" spans="1:2" x14ac:dyDescent="0.25">
      <c r="A2243" s="4">
        <v>2238</v>
      </c>
      <c r="B2243" s="3" t="str">
        <f>"00206013"</f>
        <v>00206013</v>
      </c>
    </row>
    <row r="2244" spans="1:2" x14ac:dyDescent="0.25">
      <c r="A2244" s="4">
        <v>2239</v>
      </c>
      <c r="B2244" s="3" t="str">
        <f>"00206096"</f>
        <v>00206096</v>
      </c>
    </row>
    <row r="2245" spans="1:2" x14ac:dyDescent="0.25">
      <c r="A2245" s="4">
        <v>2240</v>
      </c>
      <c r="B2245" s="3" t="str">
        <f>"00206148"</f>
        <v>00206148</v>
      </c>
    </row>
    <row r="2246" spans="1:2" x14ac:dyDescent="0.25">
      <c r="A2246" s="4">
        <v>2241</v>
      </c>
      <c r="B2246" s="3" t="str">
        <f>"00206311"</f>
        <v>00206311</v>
      </c>
    </row>
    <row r="2247" spans="1:2" x14ac:dyDescent="0.25">
      <c r="A2247" s="4">
        <v>2242</v>
      </c>
      <c r="B2247" s="3" t="str">
        <f>"00206324"</f>
        <v>00206324</v>
      </c>
    </row>
    <row r="2248" spans="1:2" x14ac:dyDescent="0.25">
      <c r="A2248" s="4">
        <v>2243</v>
      </c>
      <c r="B2248" s="3" t="str">
        <f>"00206371"</f>
        <v>00206371</v>
      </c>
    </row>
    <row r="2249" spans="1:2" x14ac:dyDescent="0.25">
      <c r="A2249" s="4">
        <v>2244</v>
      </c>
      <c r="B2249" s="3" t="str">
        <f>"00206378"</f>
        <v>00206378</v>
      </c>
    </row>
    <row r="2250" spans="1:2" x14ac:dyDescent="0.25">
      <c r="A2250" s="4">
        <v>2245</v>
      </c>
      <c r="B2250" s="3" t="str">
        <f>"00206447"</f>
        <v>00206447</v>
      </c>
    </row>
    <row r="2251" spans="1:2" x14ac:dyDescent="0.25">
      <c r="A2251" s="4">
        <v>2246</v>
      </c>
      <c r="B2251" s="3" t="str">
        <f>"00206451"</f>
        <v>00206451</v>
      </c>
    </row>
    <row r="2252" spans="1:2" x14ac:dyDescent="0.25">
      <c r="A2252" s="4">
        <v>2247</v>
      </c>
      <c r="B2252" s="3" t="str">
        <f>"00206546"</f>
        <v>00206546</v>
      </c>
    </row>
    <row r="2253" spans="1:2" x14ac:dyDescent="0.25">
      <c r="A2253" s="4">
        <v>2248</v>
      </c>
      <c r="B2253" s="3" t="str">
        <f>"00206573"</f>
        <v>00206573</v>
      </c>
    </row>
    <row r="2254" spans="1:2" x14ac:dyDescent="0.25">
      <c r="A2254" s="4">
        <v>2249</v>
      </c>
      <c r="B2254" s="3" t="str">
        <f>"00206602"</f>
        <v>00206602</v>
      </c>
    </row>
    <row r="2255" spans="1:2" x14ac:dyDescent="0.25">
      <c r="A2255" s="4">
        <v>2250</v>
      </c>
      <c r="B2255" s="3" t="str">
        <f>"00206622"</f>
        <v>00206622</v>
      </c>
    </row>
    <row r="2256" spans="1:2" x14ac:dyDescent="0.25">
      <c r="A2256" s="4">
        <v>2251</v>
      </c>
      <c r="B2256" s="3" t="str">
        <f>"00206729"</f>
        <v>00206729</v>
      </c>
    </row>
    <row r="2257" spans="1:2" x14ac:dyDescent="0.25">
      <c r="A2257" s="4">
        <v>2252</v>
      </c>
      <c r="B2257" s="3" t="str">
        <f>"00206779"</f>
        <v>00206779</v>
      </c>
    </row>
    <row r="2258" spans="1:2" x14ac:dyDescent="0.25">
      <c r="A2258" s="4">
        <v>2253</v>
      </c>
      <c r="B2258" s="3" t="str">
        <f>"00206890"</f>
        <v>00206890</v>
      </c>
    </row>
    <row r="2259" spans="1:2" x14ac:dyDescent="0.25">
      <c r="A2259" s="4">
        <v>2254</v>
      </c>
      <c r="B2259" s="3" t="str">
        <f>"00206976"</f>
        <v>00206976</v>
      </c>
    </row>
    <row r="2260" spans="1:2" x14ac:dyDescent="0.25">
      <c r="A2260" s="4">
        <v>2255</v>
      </c>
      <c r="B2260" s="3" t="str">
        <f>"00207012"</f>
        <v>00207012</v>
      </c>
    </row>
    <row r="2261" spans="1:2" x14ac:dyDescent="0.25">
      <c r="A2261" s="4">
        <v>2256</v>
      </c>
      <c r="B2261" s="3" t="str">
        <f>"00207032"</f>
        <v>00207032</v>
      </c>
    </row>
    <row r="2262" spans="1:2" x14ac:dyDescent="0.25">
      <c r="A2262" s="4">
        <v>2257</v>
      </c>
      <c r="B2262" s="3" t="str">
        <f>"00207036"</f>
        <v>00207036</v>
      </c>
    </row>
    <row r="2263" spans="1:2" x14ac:dyDescent="0.25">
      <c r="A2263" s="4">
        <v>2258</v>
      </c>
      <c r="B2263" s="3" t="str">
        <f>"00207156"</f>
        <v>00207156</v>
      </c>
    </row>
    <row r="2264" spans="1:2" x14ac:dyDescent="0.25">
      <c r="A2264" s="4">
        <v>2259</v>
      </c>
      <c r="B2264" s="3" t="str">
        <f>"00207275"</f>
        <v>00207275</v>
      </c>
    </row>
    <row r="2265" spans="1:2" x14ac:dyDescent="0.25">
      <c r="A2265" s="4">
        <v>2260</v>
      </c>
      <c r="B2265" s="3" t="str">
        <f>"00207292"</f>
        <v>00207292</v>
      </c>
    </row>
    <row r="2266" spans="1:2" x14ac:dyDescent="0.25">
      <c r="A2266" s="4">
        <v>2261</v>
      </c>
      <c r="B2266" s="3" t="str">
        <f>"00207401"</f>
        <v>00207401</v>
      </c>
    </row>
    <row r="2267" spans="1:2" x14ac:dyDescent="0.25">
      <c r="A2267" s="4">
        <v>2262</v>
      </c>
      <c r="B2267" s="3" t="str">
        <f>"00207546"</f>
        <v>00207546</v>
      </c>
    </row>
    <row r="2268" spans="1:2" x14ac:dyDescent="0.25">
      <c r="A2268" s="4">
        <v>2263</v>
      </c>
      <c r="B2268" s="3" t="str">
        <f>"00207570"</f>
        <v>00207570</v>
      </c>
    </row>
    <row r="2269" spans="1:2" x14ac:dyDescent="0.25">
      <c r="A2269" s="4">
        <v>2264</v>
      </c>
      <c r="B2269" s="3" t="str">
        <f>"00207585"</f>
        <v>00207585</v>
      </c>
    </row>
    <row r="2270" spans="1:2" x14ac:dyDescent="0.25">
      <c r="A2270" s="4">
        <v>2265</v>
      </c>
      <c r="B2270" s="3" t="str">
        <f>"00207691"</f>
        <v>00207691</v>
      </c>
    </row>
    <row r="2271" spans="1:2" x14ac:dyDescent="0.25">
      <c r="A2271" s="4">
        <v>2266</v>
      </c>
      <c r="B2271" s="3" t="str">
        <f>"00207705"</f>
        <v>00207705</v>
      </c>
    </row>
    <row r="2272" spans="1:2" x14ac:dyDescent="0.25">
      <c r="A2272" s="4">
        <v>2267</v>
      </c>
      <c r="B2272" s="3" t="str">
        <f>"00207733"</f>
        <v>00207733</v>
      </c>
    </row>
    <row r="2273" spans="1:2" x14ac:dyDescent="0.25">
      <c r="A2273" s="4">
        <v>2268</v>
      </c>
      <c r="B2273" s="3" t="str">
        <f>"00207738"</f>
        <v>00207738</v>
      </c>
    </row>
    <row r="2274" spans="1:2" x14ac:dyDescent="0.25">
      <c r="A2274" s="4">
        <v>2269</v>
      </c>
      <c r="B2274" s="3" t="str">
        <f>"00207795"</f>
        <v>00207795</v>
      </c>
    </row>
    <row r="2275" spans="1:2" x14ac:dyDescent="0.25">
      <c r="A2275" s="4">
        <v>2270</v>
      </c>
      <c r="B2275" s="3" t="str">
        <f>"00207888"</f>
        <v>00207888</v>
      </c>
    </row>
    <row r="2276" spans="1:2" x14ac:dyDescent="0.25">
      <c r="A2276" s="4">
        <v>2271</v>
      </c>
      <c r="B2276" s="3" t="str">
        <f>"00207893"</f>
        <v>00207893</v>
      </c>
    </row>
    <row r="2277" spans="1:2" x14ac:dyDescent="0.25">
      <c r="A2277" s="4">
        <v>2272</v>
      </c>
      <c r="B2277" s="3" t="str">
        <f>"00207908"</f>
        <v>00207908</v>
      </c>
    </row>
    <row r="2278" spans="1:2" x14ac:dyDescent="0.25">
      <c r="A2278" s="4">
        <v>2273</v>
      </c>
      <c r="B2278" s="3" t="str">
        <f>"00207959"</f>
        <v>00207959</v>
      </c>
    </row>
    <row r="2279" spans="1:2" x14ac:dyDescent="0.25">
      <c r="A2279" s="4">
        <v>2274</v>
      </c>
      <c r="B2279" s="3" t="str">
        <f>"00207976"</f>
        <v>00207976</v>
      </c>
    </row>
    <row r="2280" spans="1:2" x14ac:dyDescent="0.25">
      <c r="A2280" s="4">
        <v>2275</v>
      </c>
      <c r="B2280" s="3" t="str">
        <f>"00208049"</f>
        <v>00208049</v>
      </c>
    </row>
    <row r="2281" spans="1:2" x14ac:dyDescent="0.25">
      <c r="A2281" s="4">
        <v>2276</v>
      </c>
      <c r="B2281" s="3" t="str">
        <f>"00208056"</f>
        <v>00208056</v>
      </c>
    </row>
    <row r="2282" spans="1:2" x14ac:dyDescent="0.25">
      <c r="A2282" s="4">
        <v>2277</v>
      </c>
      <c r="B2282" s="3" t="str">
        <f>"00208108"</f>
        <v>00208108</v>
      </c>
    </row>
    <row r="2283" spans="1:2" x14ac:dyDescent="0.25">
      <c r="A2283" s="4">
        <v>2278</v>
      </c>
      <c r="B2283" s="3" t="str">
        <f>"00208143"</f>
        <v>00208143</v>
      </c>
    </row>
    <row r="2284" spans="1:2" x14ac:dyDescent="0.25">
      <c r="A2284" s="4">
        <v>2279</v>
      </c>
      <c r="B2284" s="3" t="str">
        <f>"00208238"</f>
        <v>00208238</v>
      </c>
    </row>
    <row r="2285" spans="1:2" x14ac:dyDescent="0.25">
      <c r="A2285" s="4">
        <v>2280</v>
      </c>
      <c r="B2285" s="3" t="str">
        <f>"00208451"</f>
        <v>00208451</v>
      </c>
    </row>
    <row r="2286" spans="1:2" x14ac:dyDescent="0.25">
      <c r="A2286" s="4">
        <v>2281</v>
      </c>
      <c r="B2286" s="3" t="str">
        <f>"00208467"</f>
        <v>00208467</v>
      </c>
    </row>
    <row r="2287" spans="1:2" x14ac:dyDescent="0.25">
      <c r="A2287" s="4">
        <v>2282</v>
      </c>
      <c r="B2287" s="3" t="str">
        <f>"00208577"</f>
        <v>00208577</v>
      </c>
    </row>
    <row r="2288" spans="1:2" x14ac:dyDescent="0.25">
      <c r="A2288" s="4">
        <v>2283</v>
      </c>
      <c r="B2288" s="3" t="str">
        <f>"00208928"</f>
        <v>00208928</v>
      </c>
    </row>
    <row r="2289" spans="1:2" x14ac:dyDescent="0.25">
      <c r="A2289" s="4">
        <v>2284</v>
      </c>
      <c r="B2289" s="3" t="str">
        <f>"00209128"</f>
        <v>00209128</v>
      </c>
    </row>
    <row r="2290" spans="1:2" x14ac:dyDescent="0.25">
      <c r="A2290" s="4">
        <v>2285</v>
      </c>
      <c r="B2290" s="3" t="str">
        <f>"00209197"</f>
        <v>00209197</v>
      </c>
    </row>
    <row r="2291" spans="1:2" x14ac:dyDescent="0.25">
      <c r="A2291" s="4">
        <v>2286</v>
      </c>
      <c r="B2291" s="3" t="str">
        <f>"00209202"</f>
        <v>00209202</v>
      </c>
    </row>
    <row r="2292" spans="1:2" x14ac:dyDescent="0.25">
      <c r="A2292" s="4">
        <v>2287</v>
      </c>
      <c r="B2292" s="3" t="str">
        <f>"00209223"</f>
        <v>00209223</v>
      </c>
    </row>
    <row r="2293" spans="1:2" x14ac:dyDescent="0.25">
      <c r="A2293" s="4">
        <v>2288</v>
      </c>
      <c r="B2293" s="3" t="str">
        <f>"00209227"</f>
        <v>00209227</v>
      </c>
    </row>
    <row r="2294" spans="1:2" x14ac:dyDescent="0.25">
      <c r="A2294" s="4">
        <v>2289</v>
      </c>
      <c r="B2294" s="3" t="str">
        <f>"00209243"</f>
        <v>00209243</v>
      </c>
    </row>
    <row r="2295" spans="1:2" x14ac:dyDescent="0.25">
      <c r="A2295" s="4">
        <v>2290</v>
      </c>
      <c r="B2295" s="3" t="str">
        <f>"00209289"</f>
        <v>00209289</v>
      </c>
    </row>
    <row r="2296" spans="1:2" x14ac:dyDescent="0.25">
      <c r="A2296" s="4">
        <v>2291</v>
      </c>
      <c r="B2296" s="3" t="str">
        <f>"00209331"</f>
        <v>00209331</v>
      </c>
    </row>
    <row r="2297" spans="1:2" x14ac:dyDescent="0.25">
      <c r="A2297" s="4">
        <v>2292</v>
      </c>
      <c r="B2297" s="3" t="str">
        <f>"00209388"</f>
        <v>00209388</v>
      </c>
    </row>
    <row r="2298" spans="1:2" x14ac:dyDescent="0.25">
      <c r="A2298" s="4">
        <v>2293</v>
      </c>
      <c r="B2298" s="3" t="str">
        <f>"00209486"</f>
        <v>00209486</v>
      </c>
    </row>
    <row r="2299" spans="1:2" x14ac:dyDescent="0.25">
      <c r="A2299" s="4">
        <v>2294</v>
      </c>
      <c r="B2299" s="3" t="str">
        <f>"00209649"</f>
        <v>00209649</v>
      </c>
    </row>
    <row r="2300" spans="1:2" x14ac:dyDescent="0.25">
      <c r="A2300" s="4">
        <v>2295</v>
      </c>
      <c r="B2300" s="3" t="str">
        <f>"00209754"</f>
        <v>00209754</v>
      </c>
    </row>
    <row r="2301" spans="1:2" x14ac:dyDescent="0.25">
      <c r="A2301" s="4">
        <v>2296</v>
      </c>
      <c r="B2301" s="3" t="str">
        <f>"00209839"</f>
        <v>00209839</v>
      </c>
    </row>
    <row r="2302" spans="1:2" x14ac:dyDescent="0.25">
      <c r="A2302" s="4">
        <v>2297</v>
      </c>
      <c r="B2302" s="3" t="str">
        <f>"00209848"</f>
        <v>00209848</v>
      </c>
    </row>
    <row r="2303" spans="1:2" x14ac:dyDescent="0.25">
      <c r="A2303" s="4">
        <v>2298</v>
      </c>
      <c r="B2303" s="3" t="str">
        <f>"00209852"</f>
        <v>00209852</v>
      </c>
    </row>
    <row r="2304" spans="1:2" x14ac:dyDescent="0.25">
      <c r="A2304" s="4">
        <v>2299</v>
      </c>
      <c r="B2304" s="3" t="str">
        <f>"00209895"</f>
        <v>00209895</v>
      </c>
    </row>
    <row r="2305" spans="1:2" x14ac:dyDescent="0.25">
      <c r="A2305" s="4">
        <v>2300</v>
      </c>
      <c r="B2305" s="3" t="str">
        <f>"00209937"</f>
        <v>00209937</v>
      </c>
    </row>
    <row r="2306" spans="1:2" x14ac:dyDescent="0.25">
      <c r="A2306" s="4">
        <v>2301</v>
      </c>
      <c r="B2306" s="3" t="str">
        <f>"00210030"</f>
        <v>00210030</v>
      </c>
    </row>
    <row r="2307" spans="1:2" x14ac:dyDescent="0.25">
      <c r="A2307" s="4">
        <v>2302</v>
      </c>
      <c r="B2307" s="3" t="str">
        <f>"00210039"</f>
        <v>00210039</v>
      </c>
    </row>
    <row r="2308" spans="1:2" x14ac:dyDescent="0.25">
      <c r="A2308" s="4">
        <v>2303</v>
      </c>
      <c r="B2308" s="3" t="str">
        <f>"00210043"</f>
        <v>00210043</v>
      </c>
    </row>
    <row r="2309" spans="1:2" x14ac:dyDescent="0.25">
      <c r="A2309" s="4">
        <v>2304</v>
      </c>
      <c r="B2309" s="3" t="str">
        <f>"00210049"</f>
        <v>00210049</v>
      </c>
    </row>
    <row r="2310" spans="1:2" x14ac:dyDescent="0.25">
      <c r="A2310" s="4">
        <v>2305</v>
      </c>
      <c r="B2310" s="3" t="str">
        <f>"00210148"</f>
        <v>00210148</v>
      </c>
    </row>
    <row r="2311" spans="1:2" x14ac:dyDescent="0.25">
      <c r="A2311" s="4">
        <v>2306</v>
      </c>
      <c r="B2311" s="3" t="str">
        <f>"00210251"</f>
        <v>00210251</v>
      </c>
    </row>
    <row r="2312" spans="1:2" x14ac:dyDescent="0.25">
      <c r="A2312" s="4">
        <v>2307</v>
      </c>
      <c r="B2312" s="3" t="str">
        <f>"00210259"</f>
        <v>00210259</v>
      </c>
    </row>
    <row r="2313" spans="1:2" x14ac:dyDescent="0.25">
      <c r="A2313" s="4">
        <v>2308</v>
      </c>
      <c r="B2313" s="3" t="str">
        <f>"00210275"</f>
        <v>00210275</v>
      </c>
    </row>
    <row r="2314" spans="1:2" x14ac:dyDescent="0.25">
      <c r="A2314" s="4">
        <v>2309</v>
      </c>
      <c r="B2314" s="3" t="str">
        <f>"00210344"</f>
        <v>00210344</v>
      </c>
    </row>
    <row r="2315" spans="1:2" x14ac:dyDescent="0.25">
      <c r="A2315" s="4">
        <v>2310</v>
      </c>
      <c r="B2315" s="3" t="str">
        <f>"00210534"</f>
        <v>00210534</v>
      </c>
    </row>
    <row r="2316" spans="1:2" x14ac:dyDescent="0.25">
      <c r="A2316" s="4">
        <v>2311</v>
      </c>
      <c r="B2316" s="3" t="str">
        <f>"00211937"</f>
        <v>00211937</v>
      </c>
    </row>
    <row r="2317" spans="1:2" x14ac:dyDescent="0.25">
      <c r="A2317" s="4">
        <v>2312</v>
      </c>
      <c r="B2317" s="3" t="str">
        <f>"00211938"</f>
        <v>00211938</v>
      </c>
    </row>
    <row r="2318" spans="1:2" x14ac:dyDescent="0.25">
      <c r="A2318" s="4">
        <v>2313</v>
      </c>
      <c r="B2318" s="3" t="str">
        <f>"00211948"</f>
        <v>00211948</v>
      </c>
    </row>
    <row r="2319" spans="1:2" x14ac:dyDescent="0.25">
      <c r="A2319" s="4">
        <v>2314</v>
      </c>
      <c r="B2319" s="3" t="str">
        <f>"00212162"</f>
        <v>00212162</v>
      </c>
    </row>
    <row r="2320" spans="1:2" x14ac:dyDescent="0.25">
      <c r="A2320" s="4">
        <v>2315</v>
      </c>
      <c r="B2320" s="3" t="str">
        <f>"00212186"</f>
        <v>00212186</v>
      </c>
    </row>
    <row r="2321" spans="1:2" x14ac:dyDescent="0.25">
      <c r="A2321" s="4">
        <v>2316</v>
      </c>
      <c r="B2321" s="3" t="str">
        <f>"00212189"</f>
        <v>00212189</v>
      </c>
    </row>
    <row r="2322" spans="1:2" x14ac:dyDescent="0.25">
      <c r="A2322" s="4">
        <v>2317</v>
      </c>
      <c r="B2322" s="3" t="str">
        <f>"00212190"</f>
        <v>00212190</v>
      </c>
    </row>
    <row r="2323" spans="1:2" x14ac:dyDescent="0.25">
      <c r="A2323" s="4">
        <v>2318</v>
      </c>
      <c r="B2323" s="3" t="str">
        <f>"00212250"</f>
        <v>00212250</v>
      </c>
    </row>
    <row r="2324" spans="1:2" x14ac:dyDescent="0.25">
      <c r="A2324" s="4">
        <v>2319</v>
      </c>
      <c r="B2324" s="3" t="str">
        <f>"00212260"</f>
        <v>00212260</v>
      </c>
    </row>
    <row r="2325" spans="1:2" x14ac:dyDescent="0.25">
      <c r="A2325" s="4">
        <v>2320</v>
      </c>
      <c r="B2325" s="3" t="str">
        <f>"00212312"</f>
        <v>00212312</v>
      </c>
    </row>
    <row r="2326" spans="1:2" x14ac:dyDescent="0.25">
      <c r="A2326" s="4">
        <v>2321</v>
      </c>
      <c r="B2326" s="3" t="str">
        <f>"00212399"</f>
        <v>00212399</v>
      </c>
    </row>
    <row r="2327" spans="1:2" x14ac:dyDescent="0.25">
      <c r="A2327" s="4">
        <v>2322</v>
      </c>
      <c r="B2327" s="3" t="str">
        <f>"00212519"</f>
        <v>00212519</v>
      </c>
    </row>
    <row r="2328" spans="1:2" x14ac:dyDescent="0.25">
      <c r="A2328" s="4">
        <v>2323</v>
      </c>
      <c r="B2328" s="3" t="str">
        <f>"00212714"</f>
        <v>00212714</v>
      </c>
    </row>
    <row r="2329" spans="1:2" x14ac:dyDescent="0.25">
      <c r="A2329" s="4">
        <v>2324</v>
      </c>
      <c r="B2329" s="3" t="str">
        <f>"00212977"</f>
        <v>00212977</v>
      </c>
    </row>
    <row r="2330" spans="1:2" x14ac:dyDescent="0.25">
      <c r="A2330" s="4">
        <v>2325</v>
      </c>
      <c r="B2330" s="3" t="str">
        <f>"00212983"</f>
        <v>00212983</v>
      </c>
    </row>
    <row r="2331" spans="1:2" x14ac:dyDescent="0.25">
      <c r="A2331" s="4">
        <v>2326</v>
      </c>
      <c r="B2331" s="3" t="str">
        <f>"00213035"</f>
        <v>00213035</v>
      </c>
    </row>
    <row r="2332" spans="1:2" x14ac:dyDescent="0.25">
      <c r="A2332" s="4">
        <v>2327</v>
      </c>
      <c r="B2332" s="3" t="str">
        <f>"00214219"</f>
        <v>00214219</v>
      </c>
    </row>
    <row r="2333" spans="1:2" x14ac:dyDescent="0.25">
      <c r="A2333" s="4">
        <v>2328</v>
      </c>
      <c r="B2333" s="3" t="str">
        <f>"00214398"</f>
        <v>00214398</v>
      </c>
    </row>
    <row r="2334" spans="1:2" x14ac:dyDescent="0.25">
      <c r="A2334" s="4">
        <v>2329</v>
      </c>
      <c r="B2334" s="3" t="str">
        <f>"00214773"</f>
        <v>00214773</v>
      </c>
    </row>
    <row r="2335" spans="1:2" x14ac:dyDescent="0.25">
      <c r="A2335" s="4">
        <v>2330</v>
      </c>
      <c r="B2335" s="3" t="str">
        <f>"00214877"</f>
        <v>00214877</v>
      </c>
    </row>
    <row r="2336" spans="1:2" x14ac:dyDescent="0.25">
      <c r="A2336" s="4">
        <v>2331</v>
      </c>
      <c r="B2336" s="3" t="str">
        <f>"00215047"</f>
        <v>00215047</v>
      </c>
    </row>
    <row r="2337" spans="1:2" x14ac:dyDescent="0.25">
      <c r="A2337" s="4">
        <v>2332</v>
      </c>
      <c r="B2337" s="3" t="str">
        <f>"00215083"</f>
        <v>00215083</v>
      </c>
    </row>
    <row r="2338" spans="1:2" x14ac:dyDescent="0.25">
      <c r="A2338" s="4">
        <v>2333</v>
      </c>
      <c r="B2338" s="3" t="str">
        <f>"00215187"</f>
        <v>00215187</v>
      </c>
    </row>
    <row r="2339" spans="1:2" x14ac:dyDescent="0.25">
      <c r="A2339" s="4">
        <v>2334</v>
      </c>
      <c r="B2339" s="3" t="str">
        <f>"00215206"</f>
        <v>00215206</v>
      </c>
    </row>
    <row r="2340" spans="1:2" x14ac:dyDescent="0.25">
      <c r="A2340" s="4">
        <v>2335</v>
      </c>
      <c r="B2340" s="3" t="str">
        <f>"00215266"</f>
        <v>00215266</v>
      </c>
    </row>
    <row r="2341" spans="1:2" x14ac:dyDescent="0.25">
      <c r="A2341" s="4">
        <v>2336</v>
      </c>
      <c r="B2341" s="3" t="str">
        <f>"00215267"</f>
        <v>00215267</v>
      </c>
    </row>
    <row r="2342" spans="1:2" x14ac:dyDescent="0.25">
      <c r="A2342" s="4">
        <v>2337</v>
      </c>
      <c r="B2342" s="3" t="str">
        <f>"00215374"</f>
        <v>00215374</v>
      </c>
    </row>
    <row r="2343" spans="1:2" x14ac:dyDescent="0.25">
      <c r="A2343" s="4">
        <v>2338</v>
      </c>
      <c r="B2343" s="3" t="str">
        <f>"00215391"</f>
        <v>00215391</v>
      </c>
    </row>
    <row r="2344" spans="1:2" x14ac:dyDescent="0.25">
      <c r="A2344" s="4">
        <v>2339</v>
      </c>
      <c r="B2344" s="3" t="str">
        <f>"00215612"</f>
        <v>00215612</v>
      </c>
    </row>
    <row r="2345" spans="1:2" x14ac:dyDescent="0.25">
      <c r="A2345" s="4">
        <v>2340</v>
      </c>
      <c r="B2345" s="3" t="str">
        <f>"00215665"</f>
        <v>00215665</v>
      </c>
    </row>
    <row r="2346" spans="1:2" x14ac:dyDescent="0.25">
      <c r="A2346" s="4">
        <v>2341</v>
      </c>
      <c r="B2346" s="3" t="str">
        <f>"00215666"</f>
        <v>00215666</v>
      </c>
    </row>
    <row r="2347" spans="1:2" x14ac:dyDescent="0.25">
      <c r="A2347" s="4">
        <v>2342</v>
      </c>
      <c r="B2347" s="3" t="str">
        <f>"00215928"</f>
        <v>00215928</v>
      </c>
    </row>
    <row r="2348" spans="1:2" x14ac:dyDescent="0.25">
      <c r="A2348" s="4">
        <v>2343</v>
      </c>
      <c r="B2348" s="3" t="str">
        <f>"00216106"</f>
        <v>00216106</v>
      </c>
    </row>
    <row r="2349" spans="1:2" x14ac:dyDescent="0.25">
      <c r="A2349" s="4">
        <v>2344</v>
      </c>
      <c r="B2349" s="3" t="str">
        <f>"00216231"</f>
        <v>00216231</v>
      </c>
    </row>
    <row r="2350" spans="1:2" x14ac:dyDescent="0.25">
      <c r="A2350" s="4">
        <v>2345</v>
      </c>
      <c r="B2350" s="3" t="str">
        <f>"00218195"</f>
        <v>00218195</v>
      </c>
    </row>
    <row r="2351" spans="1:2" x14ac:dyDescent="0.25">
      <c r="A2351" s="4">
        <v>2346</v>
      </c>
      <c r="B2351" s="3" t="str">
        <f>"00218409"</f>
        <v>00218409</v>
      </c>
    </row>
    <row r="2352" spans="1:2" x14ac:dyDescent="0.25">
      <c r="A2352" s="4">
        <v>2347</v>
      </c>
      <c r="B2352" s="3" t="str">
        <f>"00218717"</f>
        <v>00218717</v>
      </c>
    </row>
    <row r="2353" spans="1:2" x14ac:dyDescent="0.25">
      <c r="A2353" s="4">
        <v>2348</v>
      </c>
      <c r="B2353" s="3" t="str">
        <f>"00218735"</f>
        <v>00218735</v>
      </c>
    </row>
    <row r="2354" spans="1:2" x14ac:dyDescent="0.25">
      <c r="A2354" s="4">
        <v>2349</v>
      </c>
      <c r="B2354" s="3" t="str">
        <f>"00218786"</f>
        <v>00218786</v>
      </c>
    </row>
    <row r="2355" spans="1:2" x14ac:dyDescent="0.25">
      <c r="A2355" s="4">
        <v>2350</v>
      </c>
      <c r="B2355" s="3" t="str">
        <f>"00218824"</f>
        <v>00218824</v>
      </c>
    </row>
    <row r="2356" spans="1:2" x14ac:dyDescent="0.25">
      <c r="A2356" s="4">
        <v>2351</v>
      </c>
      <c r="B2356" s="3" t="str">
        <f>"00218836"</f>
        <v>00218836</v>
      </c>
    </row>
    <row r="2357" spans="1:2" x14ac:dyDescent="0.25">
      <c r="A2357" s="4">
        <v>2352</v>
      </c>
      <c r="B2357" s="3" t="str">
        <f>"00218841"</f>
        <v>00218841</v>
      </c>
    </row>
    <row r="2358" spans="1:2" x14ac:dyDescent="0.25">
      <c r="A2358" s="4">
        <v>2353</v>
      </c>
      <c r="B2358" s="3" t="str">
        <f>"00218958"</f>
        <v>00218958</v>
      </c>
    </row>
    <row r="2359" spans="1:2" x14ac:dyDescent="0.25">
      <c r="A2359" s="4">
        <v>2354</v>
      </c>
      <c r="B2359" s="3" t="str">
        <f>"00219283"</f>
        <v>00219283</v>
      </c>
    </row>
    <row r="2360" spans="1:2" x14ac:dyDescent="0.25">
      <c r="A2360" s="4">
        <v>2355</v>
      </c>
      <c r="B2360" s="3" t="str">
        <f>"00219537"</f>
        <v>00219537</v>
      </c>
    </row>
    <row r="2361" spans="1:2" x14ac:dyDescent="0.25">
      <c r="A2361" s="4">
        <v>2356</v>
      </c>
      <c r="B2361" s="3" t="str">
        <f>"00219638"</f>
        <v>00219638</v>
      </c>
    </row>
    <row r="2362" spans="1:2" x14ac:dyDescent="0.25">
      <c r="A2362" s="4">
        <v>2357</v>
      </c>
      <c r="B2362" s="3" t="str">
        <f>"00220065"</f>
        <v>00220065</v>
      </c>
    </row>
    <row r="2363" spans="1:2" x14ac:dyDescent="0.25">
      <c r="A2363" s="4">
        <v>2358</v>
      </c>
      <c r="B2363" s="3" t="str">
        <f>"00220260"</f>
        <v>00220260</v>
      </c>
    </row>
    <row r="2364" spans="1:2" x14ac:dyDescent="0.25">
      <c r="A2364" s="4">
        <v>2359</v>
      </c>
      <c r="B2364" s="3" t="str">
        <f>"00220579"</f>
        <v>00220579</v>
      </c>
    </row>
    <row r="2365" spans="1:2" x14ac:dyDescent="0.25">
      <c r="A2365" s="4">
        <v>2360</v>
      </c>
      <c r="B2365" s="3" t="str">
        <f>"00220632"</f>
        <v>00220632</v>
      </c>
    </row>
    <row r="2366" spans="1:2" x14ac:dyDescent="0.25">
      <c r="A2366" s="4">
        <v>2361</v>
      </c>
      <c r="B2366" s="3" t="str">
        <f>"00220685"</f>
        <v>00220685</v>
      </c>
    </row>
    <row r="2367" spans="1:2" x14ac:dyDescent="0.25">
      <c r="A2367" s="4">
        <v>2362</v>
      </c>
      <c r="B2367" s="3" t="str">
        <f>"00220756"</f>
        <v>00220756</v>
      </c>
    </row>
    <row r="2368" spans="1:2" x14ac:dyDescent="0.25">
      <c r="A2368" s="4">
        <v>2363</v>
      </c>
      <c r="B2368" s="3" t="str">
        <f>"00220839"</f>
        <v>00220839</v>
      </c>
    </row>
    <row r="2369" spans="1:2" x14ac:dyDescent="0.25">
      <c r="A2369" s="4">
        <v>2364</v>
      </c>
      <c r="B2369" s="3" t="str">
        <f>"00220986"</f>
        <v>00220986</v>
      </c>
    </row>
    <row r="2370" spans="1:2" x14ac:dyDescent="0.25">
      <c r="A2370" s="4">
        <v>2365</v>
      </c>
      <c r="B2370" s="3" t="str">
        <f>"00221003"</f>
        <v>00221003</v>
      </c>
    </row>
    <row r="2371" spans="1:2" x14ac:dyDescent="0.25">
      <c r="A2371" s="4">
        <v>2366</v>
      </c>
      <c r="B2371" s="3" t="str">
        <f>"00221036"</f>
        <v>00221036</v>
      </c>
    </row>
    <row r="2372" spans="1:2" x14ac:dyDescent="0.25">
      <c r="A2372" s="4">
        <v>2367</v>
      </c>
      <c r="B2372" s="3" t="str">
        <f>"00221116"</f>
        <v>00221116</v>
      </c>
    </row>
    <row r="2373" spans="1:2" x14ac:dyDescent="0.25">
      <c r="A2373" s="4">
        <v>2368</v>
      </c>
      <c r="B2373" s="3" t="str">
        <f>"00221254"</f>
        <v>00221254</v>
      </c>
    </row>
    <row r="2374" spans="1:2" x14ac:dyDescent="0.25">
      <c r="A2374" s="4">
        <v>2369</v>
      </c>
      <c r="B2374" s="3" t="str">
        <f>"00221348"</f>
        <v>00221348</v>
      </c>
    </row>
    <row r="2375" spans="1:2" x14ac:dyDescent="0.25">
      <c r="A2375" s="4">
        <v>2370</v>
      </c>
      <c r="B2375" s="3" t="str">
        <f>"00221793"</f>
        <v>00221793</v>
      </c>
    </row>
    <row r="2376" spans="1:2" x14ac:dyDescent="0.25">
      <c r="A2376" s="4">
        <v>2371</v>
      </c>
      <c r="B2376" s="3" t="str">
        <f>"00221989"</f>
        <v>00221989</v>
      </c>
    </row>
    <row r="2377" spans="1:2" x14ac:dyDescent="0.25">
      <c r="A2377" s="4">
        <v>2372</v>
      </c>
      <c r="B2377" s="3" t="str">
        <f>"00222057"</f>
        <v>00222057</v>
      </c>
    </row>
    <row r="2378" spans="1:2" x14ac:dyDescent="0.25">
      <c r="A2378" s="4">
        <v>2373</v>
      </c>
      <c r="B2378" s="3" t="str">
        <f>"00222288"</f>
        <v>00222288</v>
      </c>
    </row>
    <row r="2379" spans="1:2" x14ac:dyDescent="0.25">
      <c r="A2379" s="4">
        <v>2374</v>
      </c>
      <c r="B2379" s="3" t="str">
        <f>"00222392"</f>
        <v>00222392</v>
      </c>
    </row>
    <row r="2380" spans="1:2" x14ac:dyDescent="0.25">
      <c r="A2380" s="4">
        <v>2375</v>
      </c>
      <c r="B2380" s="3" t="str">
        <f>"00222437"</f>
        <v>00222437</v>
      </c>
    </row>
    <row r="2381" spans="1:2" x14ac:dyDescent="0.25">
      <c r="A2381" s="4">
        <v>2376</v>
      </c>
      <c r="B2381" s="3" t="str">
        <f>"00222585"</f>
        <v>00222585</v>
      </c>
    </row>
    <row r="2382" spans="1:2" x14ac:dyDescent="0.25">
      <c r="A2382" s="4">
        <v>2377</v>
      </c>
      <c r="B2382" s="3" t="str">
        <f>"00222601"</f>
        <v>00222601</v>
      </c>
    </row>
    <row r="2383" spans="1:2" x14ac:dyDescent="0.25">
      <c r="A2383" s="4">
        <v>2378</v>
      </c>
      <c r="B2383" s="3" t="str">
        <f>"00222680"</f>
        <v>00222680</v>
      </c>
    </row>
    <row r="2384" spans="1:2" x14ac:dyDescent="0.25">
      <c r="A2384" s="4">
        <v>2379</v>
      </c>
      <c r="B2384" s="3" t="str">
        <f>"00222982"</f>
        <v>00222982</v>
      </c>
    </row>
    <row r="2385" spans="1:2" x14ac:dyDescent="0.25">
      <c r="A2385" s="4">
        <v>2380</v>
      </c>
      <c r="B2385" s="3" t="str">
        <f>"00223169"</f>
        <v>00223169</v>
      </c>
    </row>
    <row r="2386" spans="1:2" x14ac:dyDescent="0.25">
      <c r="A2386" s="4">
        <v>2381</v>
      </c>
      <c r="B2386" s="3" t="str">
        <f>"00223271"</f>
        <v>00223271</v>
      </c>
    </row>
    <row r="2387" spans="1:2" x14ac:dyDescent="0.25">
      <c r="A2387" s="4">
        <v>2382</v>
      </c>
      <c r="B2387" s="3" t="str">
        <f>"00223323"</f>
        <v>00223323</v>
      </c>
    </row>
    <row r="2388" spans="1:2" x14ac:dyDescent="0.25">
      <c r="A2388" s="4">
        <v>2383</v>
      </c>
      <c r="B2388" s="3" t="str">
        <f>"00223491"</f>
        <v>00223491</v>
      </c>
    </row>
    <row r="2389" spans="1:2" x14ac:dyDescent="0.25">
      <c r="A2389" s="4">
        <v>2384</v>
      </c>
      <c r="B2389" s="3" t="str">
        <f>"00223702"</f>
        <v>00223702</v>
      </c>
    </row>
    <row r="2390" spans="1:2" x14ac:dyDescent="0.25">
      <c r="A2390" s="4">
        <v>2385</v>
      </c>
      <c r="B2390" s="3" t="str">
        <f>"00223752"</f>
        <v>00223752</v>
      </c>
    </row>
    <row r="2391" spans="1:2" x14ac:dyDescent="0.25">
      <c r="A2391" s="4">
        <v>2386</v>
      </c>
      <c r="B2391" s="3" t="str">
        <f>"00224219"</f>
        <v>00224219</v>
      </c>
    </row>
    <row r="2392" spans="1:2" x14ac:dyDescent="0.25">
      <c r="A2392" s="4">
        <v>2387</v>
      </c>
      <c r="B2392" s="3" t="str">
        <f>"00224319"</f>
        <v>00224319</v>
      </c>
    </row>
    <row r="2393" spans="1:2" x14ac:dyDescent="0.25">
      <c r="A2393" s="4">
        <v>2388</v>
      </c>
      <c r="B2393" s="3" t="str">
        <f>"00224351"</f>
        <v>00224351</v>
      </c>
    </row>
    <row r="2394" spans="1:2" x14ac:dyDescent="0.25">
      <c r="A2394" s="4">
        <v>2389</v>
      </c>
      <c r="B2394" s="3" t="str">
        <f>"00224422"</f>
        <v>00224422</v>
      </c>
    </row>
    <row r="2395" spans="1:2" x14ac:dyDescent="0.25">
      <c r="A2395" s="4">
        <v>2390</v>
      </c>
      <c r="B2395" s="3" t="str">
        <f>"00224451"</f>
        <v>00224451</v>
      </c>
    </row>
    <row r="2396" spans="1:2" x14ac:dyDescent="0.25">
      <c r="A2396" s="4">
        <v>2391</v>
      </c>
      <c r="B2396" s="3" t="str">
        <f>"00225257"</f>
        <v>00225257</v>
      </c>
    </row>
    <row r="2397" spans="1:2" x14ac:dyDescent="0.25">
      <c r="A2397" s="4">
        <v>2392</v>
      </c>
      <c r="B2397" s="3" t="str">
        <f>"00225284"</f>
        <v>00225284</v>
      </c>
    </row>
    <row r="2398" spans="1:2" x14ac:dyDescent="0.25">
      <c r="A2398" s="4">
        <v>2393</v>
      </c>
      <c r="B2398" s="3" t="str">
        <f>"00225552"</f>
        <v>00225552</v>
      </c>
    </row>
    <row r="2399" spans="1:2" x14ac:dyDescent="0.25">
      <c r="A2399" s="4">
        <v>2394</v>
      </c>
      <c r="B2399" s="3" t="str">
        <f>"00225639"</f>
        <v>00225639</v>
      </c>
    </row>
    <row r="2400" spans="1:2" x14ac:dyDescent="0.25">
      <c r="A2400" s="4">
        <v>2395</v>
      </c>
      <c r="B2400" s="3" t="str">
        <f>"00225751"</f>
        <v>00225751</v>
      </c>
    </row>
    <row r="2401" spans="1:2" x14ac:dyDescent="0.25">
      <c r="A2401" s="4">
        <v>2396</v>
      </c>
      <c r="B2401" s="3" t="str">
        <f>"00225790"</f>
        <v>00225790</v>
      </c>
    </row>
    <row r="2402" spans="1:2" x14ac:dyDescent="0.25">
      <c r="A2402" s="4">
        <v>2397</v>
      </c>
      <c r="B2402" s="3" t="str">
        <f>"00225869"</f>
        <v>00225869</v>
      </c>
    </row>
    <row r="2403" spans="1:2" x14ac:dyDescent="0.25">
      <c r="A2403" s="4">
        <v>2398</v>
      </c>
      <c r="B2403" s="3" t="str">
        <f>"00225918"</f>
        <v>00225918</v>
      </c>
    </row>
    <row r="2404" spans="1:2" x14ac:dyDescent="0.25">
      <c r="A2404" s="4">
        <v>2399</v>
      </c>
      <c r="B2404" s="3" t="str">
        <f>"00225954"</f>
        <v>00225954</v>
      </c>
    </row>
    <row r="2405" spans="1:2" x14ac:dyDescent="0.25">
      <c r="A2405" s="4">
        <v>2400</v>
      </c>
      <c r="B2405" s="3" t="str">
        <f>"00226081"</f>
        <v>00226081</v>
      </c>
    </row>
    <row r="2406" spans="1:2" x14ac:dyDescent="0.25">
      <c r="A2406" s="4">
        <v>2401</v>
      </c>
      <c r="B2406" s="3" t="str">
        <f>"00226186"</f>
        <v>00226186</v>
      </c>
    </row>
    <row r="2407" spans="1:2" x14ac:dyDescent="0.25">
      <c r="A2407" s="4">
        <v>2402</v>
      </c>
      <c r="B2407" s="3" t="str">
        <f>"00226295"</f>
        <v>00226295</v>
      </c>
    </row>
    <row r="2408" spans="1:2" x14ac:dyDescent="0.25">
      <c r="A2408" s="4">
        <v>2403</v>
      </c>
      <c r="B2408" s="3" t="str">
        <f>"00226550"</f>
        <v>00226550</v>
      </c>
    </row>
    <row r="2409" spans="1:2" x14ac:dyDescent="0.25">
      <c r="A2409" s="4">
        <v>2404</v>
      </c>
      <c r="B2409" s="3" t="str">
        <f>"00226553"</f>
        <v>00226553</v>
      </c>
    </row>
    <row r="2410" spans="1:2" x14ac:dyDescent="0.25">
      <c r="A2410" s="4">
        <v>2405</v>
      </c>
      <c r="B2410" s="3" t="str">
        <f>"00226586"</f>
        <v>00226586</v>
      </c>
    </row>
    <row r="2411" spans="1:2" x14ac:dyDescent="0.25">
      <c r="A2411" s="4">
        <v>2406</v>
      </c>
      <c r="B2411" s="3" t="str">
        <f>"00226908"</f>
        <v>00226908</v>
      </c>
    </row>
    <row r="2412" spans="1:2" x14ac:dyDescent="0.25">
      <c r="A2412" s="4">
        <v>2407</v>
      </c>
      <c r="B2412" s="3" t="str">
        <f>"00226951"</f>
        <v>00226951</v>
      </c>
    </row>
    <row r="2413" spans="1:2" x14ac:dyDescent="0.25">
      <c r="A2413" s="4">
        <v>2408</v>
      </c>
      <c r="B2413" s="3" t="str">
        <f>"00226993"</f>
        <v>00226993</v>
      </c>
    </row>
    <row r="2414" spans="1:2" x14ac:dyDescent="0.25">
      <c r="A2414" s="4">
        <v>2409</v>
      </c>
      <c r="B2414" s="3" t="str">
        <f>"00227022"</f>
        <v>00227022</v>
      </c>
    </row>
    <row r="2415" spans="1:2" x14ac:dyDescent="0.25">
      <c r="A2415" s="4">
        <v>2410</v>
      </c>
      <c r="B2415" s="3" t="str">
        <f>"00227097"</f>
        <v>00227097</v>
      </c>
    </row>
    <row r="2416" spans="1:2" x14ac:dyDescent="0.25">
      <c r="A2416" s="4">
        <v>2411</v>
      </c>
      <c r="B2416" s="3" t="str">
        <f>"00227157"</f>
        <v>00227157</v>
      </c>
    </row>
    <row r="2417" spans="1:2" x14ac:dyDescent="0.25">
      <c r="A2417" s="4">
        <v>2412</v>
      </c>
      <c r="B2417" s="3" t="str">
        <f>"00227233"</f>
        <v>00227233</v>
      </c>
    </row>
    <row r="2418" spans="1:2" x14ac:dyDescent="0.25">
      <c r="A2418" s="4">
        <v>2413</v>
      </c>
      <c r="B2418" s="3" t="str">
        <f>"00227387"</f>
        <v>00227387</v>
      </c>
    </row>
    <row r="2419" spans="1:2" x14ac:dyDescent="0.25">
      <c r="A2419" s="4">
        <v>2414</v>
      </c>
      <c r="B2419" s="3" t="str">
        <f>"00227439"</f>
        <v>00227439</v>
      </c>
    </row>
    <row r="2420" spans="1:2" x14ac:dyDescent="0.25">
      <c r="A2420" s="4">
        <v>2415</v>
      </c>
      <c r="B2420" s="3" t="str">
        <f>"00227684"</f>
        <v>00227684</v>
      </c>
    </row>
    <row r="2421" spans="1:2" x14ac:dyDescent="0.25">
      <c r="A2421" s="4">
        <v>2416</v>
      </c>
      <c r="B2421" s="3" t="str">
        <f>"00227691"</f>
        <v>00227691</v>
      </c>
    </row>
    <row r="2422" spans="1:2" x14ac:dyDescent="0.25">
      <c r="A2422" s="4">
        <v>2417</v>
      </c>
      <c r="B2422" s="3" t="str">
        <f>"00227694"</f>
        <v>00227694</v>
      </c>
    </row>
    <row r="2423" spans="1:2" x14ac:dyDescent="0.25">
      <c r="A2423" s="4">
        <v>2418</v>
      </c>
      <c r="B2423" s="3" t="str">
        <f>"00227706"</f>
        <v>00227706</v>
      </c>
    </row>
    <row r="2424" spans="1:2" x14ac:dyDescent="0.25">
      <c r="A2424" s="4">
        <v>2419</v>
      </c>
      <c r="B2424" s="3" t="str">
        <f>"00227801"</f>
        <v>00227801</v>
      </c>
    </row>
    <row r="2425" spans="1:2" x14ac:dyDescent="0.25">
      <c r="A2425" s="4">
        <v>2420</v>
      </c>
      <c r="B2425" s="3" t="str">
        <f>"00227838"</f>
        <v>00227838</v>
      </c>
    </row>
    <row r="2426" spans="1:2" x14ac:dyDescent="0.25">
      <c r="A2426" s="4">
        <v>2421</v>
      </c>
      <c r="B2426" s="3" t="str">
        <f>"00228270"</f>
        <v>00228270</v>
      </c>
    </row>
    <row r="2427" spans="1:2" x14ac:dyDescent="0.25">
      <c r="A2427" s="4">
        <v>2422</v>
      </c>
      <c r="B2427" s="3" t="str">
        <f>"00228300"</f>
        <v>00228300</v>
      </c>
    </row>
    <row r="2428" spans="1:2" x14ac:dyDescent="0.25">
      <c r="A2428" s="4">
        <v>2423</v>
      </c>
      <c r="B2428" s="3" t="str">
        <f>"00228444"</f>
        <v>00228444</v>
      </c>
    </row>
    <row r="2429" spans="1:2" x14ac:dyDescent="0.25">
      <c r="A2429" s="4">
        <v>2424</v>
      </c>
      <c r="B2429" s="3" t="str">
        <f>"00228454"</f>
        <v>00228454</v>
      </c>
    </row>
    <row r="2430" spans="1:2" x14ac:dyDescent="0.25">
      <c r="A2430" s="4">
        <v>2425</v>
      </c>
      <c r="B2430" s="3" t="str">
        <f>"00228514"</f>
        <v>00228514</v>
      </c>
    </row>
    <row r="2431" spans="1:2" x14ac:dyDescent="0.25">
      <c r="A2431" s="4">
        <v>2426</v>
      </c>
      <c r="B2431" s="3" t="str">
        <f>"00228588"</f>
        <v>00228588</v>
      </c>
    </row>
    <row r="2432" spans="1:2" x14ac:dyDescent="0.25">
      <c r="A2432" s="4">
        <v>2427</v>
      </c>
      <c r="B2432" s="3" t="str">
        <f>"00228612"</f>
        <v>00228612</v>
      </c>
    </row>
    <row r="2433" spans="1:2" x14ac:dyDescent="0.25">
      <c r="A2433" s="4">
        <v>2428</v>
      </c>
      <c r="B2433" s="3" t="str">
        <f>"00228678"</f>
        <v>00228678</v>
      </c>
    </row>
    <row r="2434" spans="1:2" x14ac:dyDescent="0.25">
      <c r="A2434" s="4">
        <v>2429</v>
      </c>
      <c r="B2434" s="3" t="str">
        <f>"00228724"</f>
        <v>00228724</v>
      </c>
    </row>
    <row r="2435" spans="1:2" x14ac:dyDescent="0.25">
      <c r="A2435" s="4">
        <v>2430</v>
      </c>
      <c r="B2435" s="3" t="str">
        <f>"00228796"</f>
        <v>00228796</v>
      </c>
    </row>
    <row r="2436" spans="1:2" x14ac:dyDescent="0.25">
      <c r="A2436" s="4">
        <v>2431</v>
      </c>
      <c r="B2436" s="3" t="str">
        <f>"00228804"</f>
        <v>00228804</v>
      </c>
    </row>
    <row r="2437" spans="1:2" x14ac:dyDescent="0.25">
      <c r="A2437" s="4">
        <v>2432</v>
      </c>
      <c r="B2437" s="3" t="str">
        <f>"00228865"</f>
        <v>00228865</v>
      </c>
    </row>
    <row r="2438" spans="1:2" x14ac:dyDescent="0.25">
      <c r="A2438" s="4">
        <v>2433</v>
      </c>
      <c r="B2438" s="3" t="str">
        <f>"00228933"</f>
        <v>00228933</v>
      </c>
    </row>
    <row r="2439" spans="1:2" x14ac:dyDescent="0.25">
      <c r="A2439" s="4">
        <v>2434</v>
      </c>
      <c r="B2439" s="3" t="str">
        <f>"00229015"</f>
        <v>00229015</v>
      </c>
    </row>
    <row r="2440" spans="1:2" x14ac:dyDescent="0.25">
      <c r="A2440" s="4">
        <v>2435</v>
      </c>
      <c r="B2440" s="3" t="str">
        <f>"00229237"</f>
        <v>00229237</v>
      </c>
    </row>
    <row r="2441" spans="1:2" x14ac:dyDescent="0.25">
      <c r="A2441" s="4">
        <v>2436</v>
      </c>
      <c r="B2441" s="3" t="str">
        <f>"00229255"</f>
        <v>00229255</v>
      </c>
    </row>
    <row r="2442" spans="1:2" x14ac:dyDescent="0.25">
      <c r="A2442" s="4">
        <v>2437</v>
      </c>
      <c r="B2442" s="3" t="str">
        <f>"00229266"</f>
        <v>00229266</v>
      </c>
    </row>
    <row r="2443" spans="1:2" x14ac:dyDescent="0.25">
      <c r="A2443" s="4">
        <v>2438</v>
      </c>
      <c r="B2443" s="3" t="str">
        <f>"00229288"</f>
        <v>00229288</v>
      </c>
    </row>
    <row r="2444" spans="1:2" x14ac:dyDescent="0.25">
      <c r="A2444" s="4">
        <v>2439</v>
      </c>
      <c r="B2444" s="3" t="str">
        <f>"00229430"</f>
        <v>00229430</v>
      </c>
    </row>
    <row r="2445" spans="1:2" x14ac:dyDescent="0.25">
      <c r="A2445" s="4">
        <v>2440</v>
      </c>
      <c r="B2445" s="3" t="str">
        <f>"00229441"</f>
        <v>00229441</v>
      </c>
    </row>
    <row r="2446" spans="1:2" x14ac:dyDescent="0.25">
      <c r="A2446" s="4">
        <v>2441</v>
      </c>
      <c r="B2446" s="3" t="str">
        <f>"00229497"</f>
        <v>00229497</v>
      </c>
    </row>
    <row r="2447" spans="1:2" x14ac:dyDescent="0.25">
      <c r="A2447" s="4">
        <v>2442</v>
      </c>
      <c r="B2447" s="3" t="str">
        <f>"00229509"</f>
        <v>00229509</v>
      </c>
    </row>
    <row r="2448" spans="1:2" x14ac:dyDescent="0.25">
      <c r="A2448" s="4">
        <v>2443</v>
      </c>
      <c r="B2448" s="3" t="str">
        <f>"00229513"</f>
        <v>00229513</v>
      </c>
    </row>
    <row r="2449" spans="1:2" x14ac:dyDescent="0.25">
      <c r="A2449" s="4">
        <v>2444</v>
      </c>
      <c r="B2449" s="3" t="str">
        <f>"00229595"</f>
        <v>00229595</v>
      </c>
    </row>
    <row r="2450" spans="1:2" x14ac:dyDescent="0.25">
      <c r="A2450" s="4">
        <v>2445</v>
      </c>
      <c r="B2450" s="3" t="str">
        <f>"00229626"</f>
        <v>00229626</v>
      </c>
    </row>
    <row r="2451" spans="1:2" x14ac:dyDescent="0.25">
      <c r="A2451" s="4">
        <v>2446</v>
      </c>
      <c r="B2451" s="3" t="str">
        <f>"00229634"</f>
        <v>00229634</v>
      </c>
    </row>
    <row r="2452" spans="1:2" x14ac:dyDescent="0.25">
      <c r="A2452" s="4">
        <v>2447</v>
      </c>
      <c r="B2452" s="3" t="str">
        <f>"00229639"</f>
        <v>00229639</v>
      </c>
    </row>
    <row r="2453" spans="1:2" x14ac:dyDescent="0.25">
      <c r="A2453" s="4">
        <v>2448</v>
      </c>
      <c r="B2453" s="3" t="str">
        <f>"00229818"</f>
        <v>00229818</v>
      </c>
    </row>
    <row r="2454" spans="1:2" x14ac:dyDescent="0.25">
      <c r="A2454" s="4">
        <v>2449</v>
      </c>
      <c r="B2454" s="3" t="str">
        <f>"00229997"</f>
        <v>00229997</v>
      </c>
    </row>
    <row r="2455" spans="1:2" x14ac:dyDescent="0.25">
      <c r="A2455" s="4">
        <v>2450</v>
      </c>
      <c r="B2455" s="3" t="str">
        <f>"00230047"</f>
        <v>00230047</v>
      </c>
    </row>
    <row r="2456" spans="1:2" x14ac:dyDescent="0.25">
      <c r="A2456" s="4">
        <v>2451</v>
      </c>
      <c r="B2456" s="3" t="str">
        <f>"00230241"</f>
        <v>00230241</v>
      </c>
    </row>
    <row r="2457" spans="1:2" x14ac:dyDescent="0.25">
      <c r="A2457" s="4">
        <v>2452</v>
      </c>
      <c r="B2457" s="3" t="str">
        <f>"00230308"</f>
        <v>00230308</v>
      </c>
    </row>
    <row r="2458" spans="1:2" x14ac:dyDescent="0.25">
      <c r="A2458" s="4">
        <v>2453</v>
      </c>
      <c r="B2458" s="3" t="str">
        <f>"00230319"</f>
        <v>00230319</v>
      </c>
    </row>
    <row r="2459" spans="1:2" x14ac:dyDescent="0.25">
      <c r="A2459" s="4">
        <v>2454</v>
      </c>
      <c r="B2459" s="3" t="str">
        <f>"00230581"</f>
        <v>00230581</v>
      </c>
    </row>
    <row r="2460" spans="1:2" x14ac:dyDescent="0.25">
      <c r="A2460" s="4">
        <v>2455</v>
      </c>
      <c r="B2460" s="3" t="str">
        <f>"00230589"</f>
        <v>00230589</v>
      </c>
    </row>
    <row r="2461" spans="1:2" x14ac:dyDescent="0.25">
      <c r="A2461" s="4">
        <v>2456</v>
      </c>
      <c r="B2461" s="3" t="str">
        <f>"00230615"</f>
        <v>00230615</v>
      </c>
    </row>
    <row r="2462" spans="1:2" x14ac:dyDescent="0.25">
      <c r="A2462" s="4">
        <v>2457</v>
      </c>
      <c r="B2462" s="3" t="str">
        <f>"00230649"</f>
        <v>00230649</v>
      </c>
    </row>
    <row r="2463" spans="1:2" x14ac:dyDescent="0.25">
      <c r="A2463" s="4">
        <v>2458</v>
      </c>
      <c r="B2463" s="3" t="str">
        <f>"00230660"</f>
        <v>00230660</v>
      </c>
    </row>
    <row r="2464" spans="1:2" x14ac:dyDescent="0.25">
      <c r="A2464" s="4">
        <v>2459</v>
      </c>
      <c r="B2464" s="3" t="str">
        <f>"00230676"</f>
        <v>00230676</v>
      </c>
    </row>
    <row r="2465" spans="1:2" x14ac:dyDescent="0.25">
      <c r="A2465" s="4">
        <v>2460</v>
      </c>
      <c r="B2465" s="3" t="str">
        <f>"00230731"</f>
        <v>00230731</v>
      </c>
    </row>
    <row r="2466" spans="1:2" x14ac:dyDescent="0.25">
      <c r="A2466" s="4">
        <v>2461</v>
      </c>
      <c r="B2466" s="3" t="str">
        <f>"00230820"</f>
        <v>00230820</v>
      </c>
    </row>
    <row r="2467" spans="1:2" x14ac:dyDescent="0.25">
      <c r="A2467" s="4">
        <v>2462</v>
      </c>
      <c r="B2467" s="3" t="str">
        <f>"00231003"</f>
        <v>00231003</v>
      </c>
    </row>
    <row r="2468" spans="1:2" x14ac:dyDescent="0.25">
      <c r="A2468" s="4">
        <v>2463</v>
      </c>
      <c r="B2468" s="3" t="str">
        <f>"00231667"</f>
        <v>00231667</v>
      </c>
    </row>
    <row r="2469" spans="1:2" x14ac:dyDescent="0.25">
      <c r="A2469" s="4">
        <v>2464</v>
      </c>
      <c r="B2469" s="3" t="str">
        <f>"00231789"</f>
        <v>00231789</v>
      </c>
    </row>
    <row r="2470" spans="1:2" x14ac:dyDescent="0.25">
      <c r="A2470" s="4">
        <v>2465</v>
      </c>
      <c r="B2470" s="3" t="str">
        <f>"00231879"</f>
        <v>00231879</v>
      </c>
    </row>
    <row r="2471" spans="1:2" x14ac:dyDescent="0.25">
      <c r="A2471" s="4">
        <v>2466</v>
      </c>
      <c r="B2471" s="3" t="str">
        <f>"00232018"</f>
        <v>00232018</v>
      </c>
    </row>
    <row r="2472" spans="1:2" x14ac:dyDescent="0.25">
      <c r="A2472" s="4">
        <v>2467</v>
      </c>
      <c r="B2472" s="3" t="str">
        <f>"00232159"</f>
        <v>00232159</v>
      </c>
    </row>
    <row r="2473" spans="1:2" x14ac:dyDescent="0.25">
      <c r="A2473" s="4">
        <v>2468</v>
      </c>
      <c r="B2473" s="3" t="str">
        <f>"00232299"</f>
        <v>00232299</v>
      </c>
    </row>
    <row r="2474" spans="1:2" x14ac:dyDescent="0.25">
      <c r="A2474" s="4">
        <v>2469</v>
      </c>
      <c r="B2474" s="3" t="str">
        <f>"00232598"</f>
        <v>00232598</v>
      </c>
    </row>
    <row r="2475" spans="1:2" x14ac:dyDescent="0.25">
      <c r="A2475" s="4">
        <v>2470</v>
      </c>
      <c r="B2475" s="3" t="str">
        <f>"00232857"</f>
        <v>00232857</v>
      </c>
    </row>
    <row r="2476" spans="1:2" x14ac:dyDescent="0.25">
      <c r="A2476" s="4">
        <v>2471</v>
      </c>
      <c r="B2476" s="3" t="str">
        <f>"00232859"</f>
        <v>00232859</v>
      </c>
    </row>
    <row r="2477" spans="1:2" x14ac:dyDescent="0.25">
      <c r="A2477" s="4">
        <v>2472</v>
      </c>
      <c r="B2477" s="3" t="str">
        <f>"00232927"</f>
        <v>00232927</v>
      </c>
    </row>
    <row r="2478" spans="1:2" x14ac:dyDescent="0.25">
      <c r="A2478" s="4">
        <v>2473</v>
      </c>
      <c r="B2478" s="3" t="str">
        <f>"00233180"</f>
        <v>00233180</v>
      </c>
    </row>
    <row r="2479" spans="1:2" x14ac:dyDescent="0.25">
      <c r="A2479" s="4">
        <v>2474</v>
      </c>
      <c r="B2479" s="3" t="str">
        <f>"00233370"</f>
        <v>00233370</v>
      </c>
    </row>
    <row r="2480" spans="1:2" x14ac:dyDescent="0.25">
      <c r="A2480" s="4">
        <v>2475</v>
      </c>
      <c r="B2480" s="3" t="str">
        <f>"00233383"</f>
        <v>00233383</v>
      </c>
    </row>
    <row r="2481" spans="1:2" x14ac:dyDescent="0.25">
      <c r="A2481" s="4">
        <v>2476</v>
      </c>
      <c r="B2481" s="3" t="str">
        <f>"00233416"</f>
        <v>00233416</v>
      </c>
    </row>
    <row r="2482" spans="1:2" x14ac:dyDescent="0.25">
      <c r="A2482" s="4">
        <v>2477</v>
      </c>
      <c r="B2482" s="3" t="str">
        <f>"00233515"</f>
        <v>00233515</v>
      </c>
    </row>
    <row r="2483" spans="1:2" x14ac:dyDescent="0.25">
      <c r="A2483" s="4">
        <v>2478</v>
      </c>
      <c r="B2483" s="3" t="str">
        <f>"00233739"</f>
        <v>00233739</v>
      </c>
    </row>
    <row r="2484" spans="1:2" x14ac:dyDescent="0.25">
      <c r="A2484" s="4">
        <v>2479</v>
      </c>
      <c r="B2484" s="3" t="str">
        <f>"00233789"</f>
        <v>00233789</v>
      </c>
    </row>
    <row r="2485" spans="1:2" x14ac:dyDescent="0.25">
      <c r="A2485" s="4">
        <v>2480</v>
      </c>
      <c r="B2485" s="3" t="str">
        <f>"00233978"</f>
        <v>00233978</v>
      </c>
    </row>
    <row r="2486" spans="1:2" x14ac:dyDescent="0.25">
      <c r="A2486" s="4">
        <v>2481</v>
      </c>
      <c r="B2486" s="3" t="str">
        <f>"00234081"</f>
        <v>00234081</v>
      </c>
    </row>
    <row r="2487" spans="1:2" x14ac:dyDescent="0.25">
      <c r="A2487" s="4">
        <v>2482</v>
      </c>
      <c r="B2487" s="3" t="str">
        <f>"00234267"</f>
        <v>00234267</v>
      </c>
    </row>
    <row r="2488" spans="1:2" x14ac:dyDescent="0.25">
      <c r="A2488" s="4">
        <v>2483</v>
      </c>
      <c r="B2488" s="3" t="str">
        <f>"00234386"</f>
        <v>00234386</v>
      </c>
    </row>
    <row r="2489" spans="1:2" x14ac:dyDescent="0.25">
      <c r="A2489" s="4">
        <v>2484</v>
      </c>
      <c r="B2489" s="3" t="str">
        <f>"00234459"</f>
        <v>00234459</v>
      </c>
    </row>
    <row r="2490" spans="1:2" x14ac:dyDescent="0.25">
      <c r="A2490" s="4">
        <v>2485</v>
      </c>
      <c r="B2490" s="3" t="str">
        <f>"00234740"</f>
        <v>00234740</v>
      </c>
    </row>
    <row r="2491" spans="1:2" x14ac:dyDescent="0.25">
      <c r="A2491" s="4">
        <v>2486</v>
      </c>
      <c r="B2491" s="3" t="str">
        <f>"00234912"</f>
        <v>00234912</v>
      </c>
    </row>
    <row r="2492" spans="1:2" x14ac:dyDescent="0.25">
      <c r="A2492" s="4">
        <v>2487</v>
      </c>
      <c r="B2492" s="3" t="str">
        <f>"00235142"</f>
        <v>00235142</v>
      </c>
    </row>
    <row r="2493" spans="1:2" x14ac:dyDescent="0.25">
      <c r="A2493" s="4">
        <v>2488</v>
      </c>
      <c r="B2493" s="3" t="str">
        <f>"00235260"</f>
        <v>00235260</v>
      </c>
    </row>
    <row r="2494" spans="1:2" x14ac:dyDescent="0.25">
      <c r="A2494" s="4">
        <v>2489</v>
      </c>
      <c r="B2494" s="3" t="str">
        <f>"00235718"</f>
        <v>00235718</v>
      </c>
    </row>
    <row r="2495" spans="1:2" x14ac:dyDescent="0.25">
      <c r="A2495" s="4">
        <v>2490</v>
      </c>
      <c r="B2495" s="3" t="str">
        <f>"00235998"</f>
        <v>00235998</v>
      </c>
    </row>
    <row r="2496" spans="1:2" x14ac:dyDescent="0.25">
      <c r="A2496" s="4">
        <v>2491</v>
      </c>
      <c r="B2496" s="3" t="str">
        <f>"00236023"</f>
        <v>00236023</v>
      </c>
    </row>
    <row r="2497" spans="1:2" x14ac:dyDescent="0.25">
      <c r="A2497" s="4">
        <v>2492</v>
      </c>
      <c r="B2497" s="3" t="str">
        <f>"00236666"</f>
        <v>00236666</v>
      </c>
    </row>
    <row r="2498" spans="1:2" x14ac:dyDescent="0.25">
      <c r="A2498" s="4">
        <v>2493</v>
      </c>
      <c r="B2498" s="3" t="str">
        <f>"00237134"</f>
        <v>00237134</v>
      </c>
    </row>
    <row r="2499" spans="1:2" x14ac:dyDescent="0.25">
      <c r="A2499" s="4">
        <v>2494</v>
      </c>
      <c r="B2499" s="3" t="str">
        <f>"00237143"</f>
        <v>00237143</v>
      </c>
    </row>
    <row r="2500" spans="1:2" x14ac:dyDescent="0.25">
      <c r="A2500" s="4">
        <v>2495</v>
      </c>
      <c r="B2500" s="3" t="str">
        <f>"00237224"</f>
        <v>00237224</v>
      </c>
    </row>
    <row r="2501" spans="1:2" x14ac:dyDescent="0.25">
      <c r="A2501" s="4">
        <v>2496</v>
      </c>
      <c r="B2501" s="3" t="str">
        <f>"00237287"</f>
        <v>00237287</v>
      </c>
    </row>
    <row r="2502" spans="1:2" x14ac:dyDescent="0.25">
      <c r="A2502" s="4">
        <v>2497</v>
      </c>
      <c r="B2502" s="3" t="str">
        <f>"00237364"</f>
        <v>00237364</v>
      </c>
    </row>
    <row r="2503" spans="1:2" x14ac:dyDescent="0.25">
      <c r="A2503" s="4">
        <v>2498</v>
      </c>
      <c r="B2503" s="3" t="str">
        <f>"00237505"</f>
        <v>00237505</v>
      </c>
    </row>
    <row r="2504" spans="1:2" x14ac:dyDescent="0.25">
      <c r="A2504" s="4">
        <v>2499</v>
      </c>
      <c r="B2504" s="3" t="str">
        <f>"00237849"</f>
        <v>00237849</v>
      </c>
    </row>
    <row r="2505" spans="1:2" x14ac:dyDescent="0.25">
      <c r="A2505" s="4">
        <v>2500</v>
      </c>
      <c r="B2505" s="3" t="str">
        <f>"00238060"</f>
        <v>00238060</v>
      </c>
    </row>
    <row r="2506" spans="1:2" x14ac:dyDescent="0.25">
      <c r="A2506" s="4">
        <v>2501</v>
      </c>
      <c r="B2506" s="3" t="str">
        <f>"00238206"</f>
        <v>00238206</v>
      </c>
    </row>
    <row r="2507" spans="1:2" x14ac:dyDescent="0.25">
      <c r="A2507" s="4">
        <v>2502</v>
      </c>
      <c r="B2507" s="3" t="str">
        <f>"00238304"</f>
        <v>00238304</v>
      </c>
    </row>
    <row r="2508" spans="1:2" x14ac:dyDescent="0.25">
      <c r="A2508" s="4">
        <v>2503</v>
      </c>
      <c r="B2508" s="3" t="str">
        <f>"00238386"</f>
        <v>00238386</v>
      </c>
    </row>
    <row r="2509" spans="1:2" x14ac:dyDescent="0.25">
      <c r="A2509" s="4">
        <v>2504</v>
      </c>
      <c r="B2509" s="3" t="str">
        <f>"00238683"</f>
        <v>00238683</v>
      </c>
    </row>
    <row r="2510" spans="1:2" x14ac:dyDescent="0.25">
      <c r="A2510" s="4">
        <v>2505</v>
      </c>
      <c r="B2510" s="3" t="str">
        <f>"00238702"</f>
        <v>00238702</v>
      </c>
    </row>
    <row r="2511" spans="1:2" x14ac:dyDescent="0.25">
      <c r="A2511" s="4">
        <v>2506</v>
      </c>
      <c r="B2511" s="3" t="str">
        <f>"00238963"</f>
        <v>00238963</v>
      </c>
    </row>
    <row r="2512" spans="1:2" x14ac:dyDescent="0.25">
      <c r="A2512" s="4">
        <v>2507</v>
      </c>
      <c r="B2512" s="3" t="str">
        <f>"00239063"</f>
        <v>00239063</v>
      </c>
    </row>
    <row r="2513" spans="1:2" x14ac:dyDescent="0.25">
      <c r="A2513" s="4">
        <v>2508</v>
      </c>
      <c r="B2513" s="3" t="str">
        <f>"00239303"</f>
        <v>00239303</v>
      </c>
    </row>
    <row r="2514" spans="1:2" x14ac:dyDescent="0.25">
      <c r="A2514" s="4">
        <v>2509</v>
      </c>
      <c r="B2514" s="3" t="str">
        <f>"00239607"</f>
        <v>00239607</v>
      </c>
    </row>
    <row r="2515" spans="1:2" x14ac:dyDescent="0.25">
      <c r="A2515" s="4">
        <v>2510</v>
      </c>
      <c r="B2515" s="3" t="str">
        <f>"00239635"</f>
        <v>00239635</v>
      </c>
    </row>
    <row r="2516" spans="1:2" x14ac:dyDescent="0.25">
      <c r="A2516" s="4">
        <v>2511</v>
      </c>
      <c r="B2516" s="3" t="str">
        <f>"00239780"</f>
        <v>00239780</v>
      </c>
    </row>
    <row r="2517" spans="1:2" x14ac:dyDescent="0.25">
      <c r="A2517" s="4">
        <v>2512</v>
      </c>
      <c r="B2517" s="3" t="str">
        <f>"00239831"</f>
        <v>00239831</v>
      </c>
    </row>
    <row r="2518" spans="1:2" x14ac:dyDescent="0.25">
      <c r="A2518" s="4">
        <v>2513</v>
      </c>
      <c r="B2518" s="3" t="str">
        <f>"00239860"</f>
        <v>00239860</v>
      </c>
    </row>
    <row r="2519" spans="1:2" x14ac:dyDescent="0.25">
      <c r="A2519" s="4">
        <v>2514</v>
      </c>
      <c r="B2519" s="3" t="str">
        <f>"00239908"</f>
        <v>00239908</v>
      </c>
    </row>
    <row r="2520" spans="1:2" x14ac:dyDescent="0.25">
      <c r="A2520" s="4">
        <v>2515</v>
      </c>
      <c r="B2520" s="3" t="str">
        <f>"00240199"</f>
        <v>00240199</v>
      </c>
    </row>
    <row r="2521" spans="1:2" x14ac:dyDescent="0.25">
      <c r="A2521" s="4">
        <v>2516</v>
      </c>
      <c r="B2521" s="3" t="str">
        <f>"00240613"</f>
        <v>00240613</v>
      </c>
    </row>
    <row r="2522" spans="1:2" x14ac:dyDescent="0.25">
      <c r="A2522" s="4">
        <v>2517</v>
      </c>
      <c r="B2522" s="3" t="str">
        <f>"00240904"</f>
        <v>00240904</v>
      </c>
    </row>
    <row r="2523" spans="1:2" x14ac:dyDescent="0.25">
      <c r="A2523" s="4">
        <v>2518</v>
      </c>
      <c r="B2523" s="3" t="str">
        <f>"00241080"</f>
        <v>00241080</v>
      </c>
    </row>
    <row r="2524" spans="1:2" x14ac:dyDescent="0.25">
      <c r="A2524" s="4">
        <v>2519</v>
      </c>
      <c r="B2524" s="3" t="str">
        <f>"00241283"</f>
        <v>00241283</v>
      </c>
    </row>
    <row r="2525" spans="1:2" x14ac:dyDescent="0.25">
      <c r="A2525" s="4">
        <v>2520</v>
      </c>
      <c r="B2525" s="3" t="str">
        <f>"00241310"</f>
        <v>00241310</v>
      </c>
    </row>
    <row r="2526" spans="1:2" x14ac:dyDescent="0.25">
      <c r="A2526" s="4">
        <v>2521</v>
      </c>
      <c r="B2526" s="3" t="str">
        <f>"00241590"</f>
        <v>00241590</v>
      </c>
    </row>
    <row r="2527" spans="1:2" x14ac:dyDescent="0.25">
      <c r="A2527" s="4">
        <v>2522</v>
      </c>
      <c r="B2527" s="3" t="str">
        <f>"00241794"</f>
        <v>00241794</v>
      </c>
    </row>
    <row r="2528" spans="1:2" x14ac:dyDescent="0.25">
      <c r="A2528" s="4">
        <v>2523</v>
      </c>
      <c r="B2528" s="3" t="str">
        <f>"00242074"</f>
        <v>00242074</v>
      </c>
    </row>
    <row r="2529" spans="1:2" x14ac:dyDescent="0.25">
      <c r="A2529" s="4">
        <v>2524</v>
      </c>
      <c r="B2529" s="3" t="str">
        <f>"00242911"</f>
        <v>00242911</v>
      </c>
    </row>
    <row r="2530" spans="1:2" x14ac:dyDescent="0.25">
      <c r="A2530" s="4">
        <v>2525</v>
      </c>
      <c r="B2530" s="3" t="str">
        <f>"00243950"</f>
        <v>00243950</v>
      </c>
    </row>
    <row r="2531" spans="1:2" x14ac:dyDescent="0.25">
      <c r="A2531" s="4">
        <v>2526</v>
      </c>
      <c r="B2531" s="3" t="str">
        <f>"00243971"</f>
        <v>00243971</v>
      </c>
    </row>
    <row r="2532" spans="1:2" x14ac:dyDescent="0.25">
      <c r="A2532" s="4">
        <v>2527</v>
      </c>
      <c r="B2532" s="3" t="str">
        <f>"00244060"</f>
        <v>00244060</v>
      </c>
    </row>
    <row r="2533" spans="1:2" x14ac:dyDescent="0.25">
      <c r="A2533" s="4">
        <v>2528</v>
      </c>
      <c r="B2533" s="3" t="str">
        <f>"00244429"</f>
        <v>00244429</v>
      </c>
    </row>
    <row r="2534" spans="1:2" x14ac:dyDescent="0.25">
      <c r="A2534" s="4">
        <v>2529</v>
      </c>
      <c r="B2534" s="3" t="str">
        <f>"00245352"</f>
        <v>00245352</v>
      </c>
    </row>
    <row r="2535" spans="1:2" x14ac:dyDescent="0.25">
      <c r="A2535" s="4">
        <v>2530</v>
      </c>
      <c r="B2535" s="3" t="str">
        <f>"00245482"</f>
        <v>00245482</v>
      </c>
    </row>
    <row r="2536" spans="1:2" x14ac:dyDescent="0.25">
      <c r="A2536" s="4">
        <v>2531</v>
      </c>
      <c r="B2536" s="3" t="str">
        <f>"00245567"</f>
        <v>00245567</v>
      </c>
    </row>
    <row r="2537" spans="1:2" x14ac:dyDescent="0.25">
      <c r="A2537" s="4">
        <v>2532</v>
      </c>
      <c r="B2537" s="3" t="str">
        <f>"00245587"</f>
        <v>00245587</v>
      </c>
    </row>
    <row r="2538" spans="1:2" x14ac:dyDescent="0.25">
      <c r="A2538" s="4">
        <v>2533</v>
      </c>
      <c r="B2538" s="3" t="str">
        <f>"00245663"</f>
        <v>00245663</v>
      </c>
    </row>
    <row r="2539" spans="1:2" x14ac:dyDescent="0.25">
      <c r="A2539" s="4">
        <v>2534</v>
      </c>
      <c r="B2539" s="3" t="str">
        <f>"00245714"</f>
        <v>00245714</v>
      </c>
    </row>
    <row r="2540" spans="1:2" x14ac:dyDescent="0.25">
      <c r="A2540" s="4">
        <v>2535</v>
      </c>
      <c r="B2540" s="3" t="str">
        <f>"00245730"</f>
        <v>00245730</v>
      </c>
    </row>
    <row r="2541" spans="1:2" x14ac:dyDescent="0.25">
      <c r="A2541" s="4">
        <v>2536</v>
      </c>
      <c r="B2541" s="3" t="str">
        <f>"00245771"</f>
        <v>00245771</v>
      </c>
    </row>
    <row r="2542" spans="1:2" x14ac:dyDescent="0.25">
      <c r="A2542" s="4">
        <v>2537</v>
      </c>
      <c r="B2542" s="3" t="str">
        <f>"00245786"</f>
        <v>00245786</v>
      </c>
    </row>
    <row r="2543" spans="1:2" x14ac:dyDescent="0.25">
      <c r="A2543" s="4">
        <v>2538</v>
      </c>
      <c r="B2543" s="3" t="str">
        <f>"00245962"</f>
        <v>00245962</v>
      </c>
    </row>
    <row r="2544" spans="1:2" x14ac:dyDescent="0.25">
      <c r="A2544" s="4">
        <v>2539</v>
      </c>
      <c r="B2544" s="3" t="str">
        <f>"00245994"</f>
        <v>00245994</v>
      </c>
    </row>
    <row r="2545" spans="1:2" x14ac:dyDescent="0.25">
      <c r="A2545" s="4">
        <v>2540</v>
      </c>
      <c r="B2545" s="3" t="str">
        <f>"00246124"</f>
        <v>00246124</v>
      </c>
    </row>
    <row r="2546" spans="1:2" x14ac:dyDescent="0.25">
      <c r="A2546" s="4">
        <v>2541</v>
      </c>
      <c r="B2546" s="3" t="str">
        <f>"00246300"</f>
        <v>00246300</v>
      </c>
    </row>
    <row r="2547" spans="1:2" x14ac:dyDescent="0.25">
      <c r="A2547" s="4">
        <v>2542</v>
      </c>
      <c r="B2547" s="3" t="str">
        <f>"00246362"</f>
        <v>00246362</v>
      </c>
    </row>
    <row r="2548" spans="1:2" x14ac:dyDescent="0.25">
      <c r="A2548" s="4">
        <v>2543</v>
      </c>
      <c r="B2548" s="3" t="str">
        <f>"00246383"</f>
        <v>00246383</v>
      </c>
    </row>
    <row r="2549" spans="1:2" x14ac:dyDescent="0.25">
      <c r="A2549" s="4">
        <v>2544</v>
      </c>
      <c r="B2549" s="3" t="str">
        <f>"00246551"</f>
        <v>00246551</v>
      </c>
    </row>
    <row r="2550" spans="1:2" x14ac:dyDescent="0.25">
      <c r="A2550" s="4">
        <v>2545</v>
      </c>
      <c r="B2550" s="3" t="str">
        <f>"00246642"</f>
        <v>00246642</v>
      </c>
    </row>
    <row r="2551" spans="1:2" x14ac:dyDescent="0.25">
      <c r="A2551" s="4">
        <v>2546</v>
      </c>
      <c r="B2551" s="3" t="str">
        <f>"00246776"</f>
        <v>00246776</v>
      </c>
    </row>
    <row r="2552" spans="1:2" x14ac:dyDescent="0.25">
      <c r="A2552" s="4">
        <v>2547</v>
      </c>
      <c r="B2552" s="3" t="str">
        <f>"00246811"</f>
        <v>00246811</v>
      </c>
    </row>
    <row r="2553" spans="1:2" x14ac:dyDescent="0.25">
      <c r="A2553" s="4">
        <v>2548</v>
      </c>
      <c r="B2553" s="3" t="str">
        <f>"00247051"</f>
        <v>00247051</v>
      </c>
    </row>
    <row r="2554" spans="1:2" x14ac:dyDescent="0.25">
      <c r="A2554" s="4">
        <v>2549</v>
      </c>
      <c r="B2554" s="3" t="str">
        <f>"00247074"</f>
        <v>00247074</v>
      </c>
    </row>
    <row r="2555" spans="1:2" x14ac:dyDescent="0.25">
      <c r="A2555" s="4">
        <v>2550</v>
      </c>
      <c r="B2555" s="3" t="str">
        <f>"00247079"</f>
        <v>00247079</v>
      </c>
    </row>
    <row r="2556" spans="1:2" x14ac:dyDescent="0.25">
      <c r="A2556" s="4">
        <v>2551</v>
      </c>
      <c r="B2556" s="3" t="str">
        <f>"00247114"</f>
        <v>00247114</v>
      </c>
    </row>
    <row r="2557" spans="1:2" x14ac:dyDescent="0.25">
      <c r="A2557" s="4">
        <v>2552</v>
      </c>
      <c r="B2557" s="3" t="str">
        <f>"00247128"</f>
        <v>00247128</v>
      </c>
    </row>
    <row r="2558" spans="1:2" x14ac:dyDescent="0.25">
      <c r="A2558" s="4">
        <v>2553</v>
      </c>
      <c r="B2558" s="3" t="str">
        <f>"00247201"</f>
        <v>00247201</v>
      </c>
    </row>
    <row r="2559" spans="1:2" x14ac:dyDescent="0.25">
      <c r="A2559" s="4">
        <v>2554</v>
      </c>
      <c r="B2559" s="3" t="str">
        <f>"00247344"</f>
        <v>00247344</v>
      </c>
    </row>
    <row r="2560" spans="1:2" x14ac:dyDescent="0.25">
      <c r="A2560" s="4">
        <v>2555</v>
      </c>
      <c r="B2560" s="3" t="str">
        <f>"00247380"</f>
        <v>00247380</v>
      </c>
    </row>
    <row r="2561" spans="1:2" x14ac:dyDescent="0.25">
      <c r="A2561" s="4">
        <v>2556</v>
      </c>
      <c r="B2561" s="3" t="str">
        <f>"00247428"</f>
        <v>00247428</v>
      </c>
    </row>
    <row r="2562" spans="1:2" x14ac:dyDescent="0.25">
      <c r="A2562" s="4">
        <v>2557</v>
      </c>
      <c r="B2562" s="3" t="str">
        <f>"00247453"</f>
        <v>00247453</v>
      </c>
    </row>
    <row r="2563" spans="1:2" x14ac:dyDescent="0.25">
      <c r="A2563" s="4">
        <v>2558</v>
      </c>
      <c r="B2563" s="3" t="str">
        <f>"00247524"</f>
        <v>00247524</v>
      </c>
    </row>
    <row r="2564" spans="1:2" x14ac:dyDescent="0.25">
      <c r="A2564" s="4">
        <v>2559</v>
      </c>
      <c r="B2564" s="3" t="str">
        <f>"00247640"</f>
        <v>00247640</v>
      </c>
    </row>
    <row r="2565" spans="1:2" x14ac:dyDescent="0.25">
      <c r="A2565" s="4">
        <v>2560</v>
      </c>
      <c r="B2565" s="3" t="str">
        <f>"00247826"</f>
        <v>00247826</v>
      </c>
    </row>
    <row r="2566" spans="1:2" x14ac:dyDescent="0.25">
      <c r="A2566" s="4">
        <v>2561</v>
      </c>
      <c r="B2566" s="3" t="str">
        <f>"00247847"</f>
        <v>00247847</v>
      </c>
    </row>
    <row r="2567" spans="1:2" x14ac:dyDescent="0.25">
      <c r="A2567" s="4">
        <v>2562</v>
      </c>
      <c r="B2567" s="3" t="str">
        <f>"00247935"</f>
        <v>00247935</v>
      </c>
    </row>
    <row r="2568" spans="1:2" x14ac:dyDescent="0.25">
      <c r="A2568" s="4">
        <v>2563</v>
      </c>
      <c r="B2568" s="3" t="str">
        <f>"00247940"</f>
        <v>00247940</v>
      </c>
    </row>
    <row r="2569" spans="1:2" x14ac:dyDescent="0.25">
      <c r="A2569" s="4">
        <v>2564</v>
      </c>
      <c r="B2569" s="3" t="str">
        <f>"00248004"</f>
        <v>00248004</v>
      </c>
    </row>
    <row r="2570" spans="1:2" x14ac:dyDescent="0.25">
      <c r="A2570" s="4">
        <v>2565</v>
      </c>
      <c r="B2570" s="3" t="str">
        <f>"00248007"</f>
        <v>00248007</v>
      </c>
    </row>
    <row r="2571" spans="1:2" x14ac:dyDescent="0.25">
      <c r="A2571" s="4">
        <v>2566</v>
      </c>
      <c r="B2571" s="3" t="str">
        <f>"00248073"</f>
        <v>00248073</v>
      </c>
    </row>
    <row r="2572" spans="1:2" x14ac:dyDescent="0.25">
      <c r="A2572" s="4">
        <v>2567</v>
      </c>
      <c r="B2572" s="3" t="str">
        <f>"00248220"</f>
        <v>00248220</v>
      </c>
    </row>
    <row r="2573" spans="1:2" x14ac:dyDescent="0.25">
      <c r="A2573" s="4">
        <v>2568</v>
      </c>
      <c r="B2573" s="3" t="str">
        <f>"00248226"</f>
        <v>00248226</v>
      </c>
    </row>
    <row r="2574" spans="1:2" x14ac:dyDescent="0.25">
      <c r="A2574" s="4">
        <v>2569</v>
      </c>
      <c r="B2574" s="3" t="str">
        <f>"00248252"</f>
        <v>00248252</v>
      </c>
    </row>
    <row r="2575" spans="1:2" x14ac:dyDescent="0.25">
      <c r="A2575" s="4">
        <v>2570</v>
      </c>
      <c r="B2575" s="3" t="str">
        <f>"00248266"</f>
        <v>00248266</v>
      </c>
    </row>
    <row r="2576" spans="1:2" x14ac:dyDescent="0.25">
      <c r="A2576" s="4">
        <v>2571</v>
      </c>
      <c r="B2576" s="3" t="str">
        <f>"00248276"</f>
        <v>00248276</v>
      </c>
    </row>
    <row r="2577" spans="1:2" x14ac:dyDescent="0.25">
      <c r="A2577" s="4">
        <v>2572</v>
      </c>
      <c r="B2577" s="3" t="str">
        <f>"00248345"</f>
        <v>00248345</v>
      </c>
    </row>
    <row r="2578" spans="1:2" x14ac:dyDescent="0.25">
      <c r="A2578" s="4">
        <v>2573</v>
      </c>
      <c r="B2578" s="3" t="str">
        <f>"00248454"</f>
        <v>00248454</v>
      </c>
    </row>
    <row r="2579" spans="1:2" x14ac:dyDescent="0.25">
      <c r="A2579" s="4">
        <v>2574</v>
      </c>
      <c r="B2579" s="3" t="str">
        <f>"00248587"</f>
        <v>00248587</v>
      </c>
    </row>
    <row r="2580" spans="1:2" x14ac:dyDescent="0.25">
      <c r="A2580" s="4">
        <v>2575</v>
      </c>
      <c r="B2580" s="3" t="str">
        <f>"00248678"</f>
        <v>00248678</v>
      </c>
    </row>
    <row r="2581" spans="1:2" x14ac:dyDescent="0.25">
      <c r="A2581" s="4">
        <v>2576</v>
      </c>
      <c r="B2581" s="3" t="str">
        <f>"00248805"</f>
        <v>00248805</v>
      </c>
    </row>
    <row r="2582" spans="1:2" x14ac:dyDescent="0.25">
      <c r="A2582" s="4">
        <v>2577</v>
      </c>
      <c r="B2582" s="3" t="str">
        <f>"00248838"</f>
        <v>00248838</v>
      </c>
    </row>
    <row r="2583" spans="1:2" x14ac:dyDescent="0.25">
      <c r="A2583" s="4">
        <v>2578</v>
      </c>
      <c r="B2583" s="3" t="str">
        <f>"00248910"</f>
        <v>00248910</v>
      </c>
    </row>
    <row r="2584" spans="1:2" x14ac:dyDescent="0.25">
      <c r="A2584" s="4">
        <v>2579</v>
      </c>
      <c r="B2584" s="3" t="str">
        <f>"00249101"</f>
        <v>00249101</v>
      </c>
    </row>
    <row r="2585" spans="1:2" x14ac:dyDescent="0.25">
      <c r="A2585" s="4">
        <v>2580</v>
      </c>
      <c r="B2585" s="3" t="str">
        <f>"00249111"</f>
        <v>00249111</v>
      </c>
    </row>
    <row r="2586" spans="1:2" x14ac:dyDescent="0.25">
      <c r="A2586" s="4">
        <v>2581</v>
      </c>
      <c r="B2586" s="3" t="str">
        <f>"00249133"</f>
        <v>00249133</v>
      </c>
    </row>
    <row r="2587" spans="1:2" x14ac:dyDescent="0.25">
      <c r="A2587" s="4">
        <v>2582</v>
      </c>
      <c r="B2587" s="3" t="str">
        <f>"00249149"</f>
        <v>00249149</v>
      </c>
    </row>
    <row r="2588" spans="1:2" x14ac:dyDescent="0.25">
      <c r="A2588" s="4">
        <v>2583</v>
      </c>
      <c r="B2588" s="3" t="str">
        <f>"00249160"</f>
        <v>00249160</v>
      </c>
    </row>
    <row r="2589" spans="1:2" x14ac:dyDescent="0.25">
      <c r="A2589" s="4">
        <v>2584</v>
      </c>
      <c r="B2589" s="3" t="str">
        <f>"00249217"</f>
        <v>00249217</v>
      </c>
    </row>
    <row r="2590" spans="1:2" x14ac:dyDescent="0.25">
      <c r="A2590" s="4">
        <v>2585</v>
      </c>
      <c r="B2590" s="3" t="str">
        <f>"00249297"</f>
        <v>00249297</v>
      </c>
    </row>
    <row r="2591" spans="1:2" x14ac:dyDescent="0.25">
      <c r="A2591" s="4">
        <v>2586</v>
      </c>
      <c r="B2591" s="3" t="str">
        <f>"00249312"</f>
        <v>00249312</v>
      </c>
    </row>
    <row r="2592" spans="1:2" x14ac:dyDescent="0.25">
      <c r="A2592" s="4">
        <v>2587</v>
      </c>
      <c r="B2592" s="3" t="str">
        <f>"00249402"</f>
        <v>00249402</v>
      </c>
    </row>
    <row r="2593" spans="1:2" x14ac:dyDescent="0.25">
      <c r="A2593" s="4">
        <v>2588</v>
      </c>
      <c r="B2593" s="3" t="str">
        <f>"00249457"</f>
        <v>00249457</v>
      </c>
    </row>
    <row r="2594" spans="1:2" x14ac:dyDescent="0.25">
      <c r="A2594" s="4">
        <v>2589</v>
      </c>
      <c r="B2594" s="3" t="str">
        <f>"00249502"</f>
        <v>00249502</v>
      </c>
    </row>
    <row r="2595" spans="1:2" x14ac:dyDescent="0.25">
      <c r="A2595" s="4">
        <v>2590</v>
      </c>
      <c r="B2595" s="3" t="str">
        <f>"00249690"</f>
        <v>00249690</v>
      </c>
    </row>
    <row r="2596" spans="1:2" x14ac:dyDescent="0.25">
      <c r="A2596" s="4">
        <v>2591</v>
      </c>
      <c r="B2596" s="3" t="str">
        <f>"00249703"</f>
        <v>00249703</v>
      </c>
    </row>
    <row r="2597" spans="1:2" x14ac:dyDescent="0.25">
      <c r="A2597" s="4">
        <v>2592</v>
      </c>
      <c r="B2597" s="3" t="str">
        <f>"00249721"</f>
        <v>00249721</v>
      </c>
    </row>
    <row r="2598" spans="1:2" x14ac:dyDescent="0.25">
      <c r="A2598" s="4">
        <v>2593</v>
      </c>
      <c r="B2598" s="3" t="str">
        <f>"00249739"</f>
        <v>00249739</v>
      </c>
    </row>
    <row r="2599" spans="1:2" x14ac:dyDescent="0.25">
      <c r="A2599" s="4">
        <v>2594</v>
      </c>
      <c r="B2599" s="3" t="str">
        <f>"00249741"</f>
        <v>00249741</v>
      </c>
    </row>
    <row r="2600" spans="1:2" x14ac:dyDescent="0.25">
      <c r="A2600" s="4">
        <v>2595</v>
      </c>
      <c r="B2600" s="3" t="str">
        <f>"00249751"</f>
        <v>00249751</v>
      </c>
    </row>
    <row r="2601" spans="1:2" x14ac:dyDescent="0.25">
      <c r="A2601" s="4">
        <v>2596</v>
      </c>
      <c r="B2601" s="3" t="str">
        <f>"00249754"</f>
        <v>00249754</v>
      </c>
    </row>
    <row r="2602" spans="1:2" x14ac:dyDescent="0.25">
      <c r="A2602" s="4">
        <v>2597</v>
      </c>
      <c r="B2602" s="3" t="str">
        <f>"00249838"</f>
        <v>00249838</v>
      </c>
    </row>
    <row r="2603" spans="1:2" x14ac:dyDescent="0.25">
      <c r="A2603" s="4">
        <v>2598</v>
      </c>
      <c r="B2603" s="3" t="str">
        <f>"00249997"</f>
        <v>00249997</v>
      </c>
    </row>
    <row r="2604" spans="1:2" x14ac:dyDescent="0.25">
      <c r="A2604" s="4">
        <v>2599</v>
      </c>
      <c r="B2604" s="3" t="str">
        <f>"00250059"</f>
        <v>00250059</v>
      </c>
    </row>
    <row r="2605" spans="1:2" x14ac:dyDescent="0.25">
      <c r="A2605" s="4">
        <v>2600</v>
      </c>
      <c r="B2605" s="3" t="str">
        <f>"00250139"</f>
        <v>00250139</v>
      </c>
    </row>
    <row r="2606" spans="1:2" x14ac:dyDescent="0.25">
      <c r="A2606" s="4">
        <v>2601</v>
      </c>
      <c r="B2606" s="3" t="str">
        <f>"00250160"</f>
        <v>00250160</v>
      </c>
    </row>
    <row r="2607" spans="1:2" x14ac:dyDescent="0.25">
      <c r="A2607" s="4">
        <v>2602</v>
      </c>
      <c r="B2607" s="3" t="str">
        <f>"00250168"</f>
        <v>00250168</v>
      </c>
    </row>
    <row r="2608" spans="1:2" x14ac:dyDescent="0.25">
      <c r="A2608" s="4">
        <v>2603</v>
      </c>
      <c r="B2608" s="3" t="str">
        <f>"00250248"</f>
        <v>00250248</v>
      </c>
    </row>
    <row r="2609" spans="1:2" x14ac:dyDescent="0.25">
      <c r="A2609" s="4">
        <v>2604</v>
      </c>
      <c r="B2609" s="3" t="str">
        <f>"00250314"</f>
        <v>00250314</v>
      </c>
    </row>
    <row r="2610" spans="1:2" x14ac:dyDescent="0.25">
      <c r="A2610" s="4">
        <v>2605</v>
      </c>
      <c r="B2610" s="3" t="str">
        <f>"00250343"</f>
        <v>00250343</v>
      </c>
    </row>
    <row r="2611" spans="1:2" x14ac:dyDescent="0.25">
      <c r="A2611" s="4">
        <v>2606</v>
      </c>
      <c r="B2611" s="3" t="str">
        <f>"00250414"</f>
        <v>00250414</v>
      </c>
    </row>
    <row r="2612" spans="1:2" x14ac:dyDescent="0.25">
      <c r="A2612" s="4">
        <v>2607</v>
      </c>
      <c r="B2612" s="3" t="str">
        <f>"00250420"</f>
        <v>00250420</v>
      </c>
    </row>
    <row r="2613" spans="1:2" x14ac:dyDescent="0.25">
      <c r="A2613" s="4">
        <v>2608</v>
      </c>
      <c r="B2613" s="3" t="str">
        <f>"00250451"</f>
        <v>00250451</v>
      </c>
    </row>
    <row r="2614" spans="1:2" x14ac:dyDescent="0.25">
      <c r="A2614" s="4">
        <v>2609</v>
      </c>
      <c r="B2614" s="3" t="str">
        <f>"00250725"</f>
        <v>00250725</v>
      </c>
    </row>
    <row r="2615" spans="1:2" x14ac:dyDescent="0.25">
      <c r="A2615" s="4">
        <v>2610</v>
      </c>
      <c r="B2615" s="3" t="str">
        <f>"00250870"</f>
        <v>00250870</v>
      </c>
    </row>
    <row r="2616" spans="1:2" x14ac:dyDescent="0.25">
      <c r="A2616" s="4">
        <v>2611</v>
      </c>
      <c r="B2616" s="3" t="str">
        <f>"00250875"</f>
        <v>00250875</v>
      </c>
    </row>
    <row r="2617" spans="1:2" x14ac:dyDescent="0.25">
      <c r="A2617" s="4">
        <v>2612</v>
      </c>
      <c r="B2617" s="3" t="str">
        <f>"00250888"</f>
        <v>00250888</v>
      </c>
    </row>
    <row r="2618" spans="1:2" x14ac:dyDescent="0.25">
      <c r="A2618" s="4">
        <v>2613</v>
      </c>
      <c r="B2618" s="3" t="str">
        <f>"00250927"</f>
        <v>00250927</v>
      </c>
    </row>
    <row r="2619" spans="1:2" x14ac:dyDescent="0.25">
      <c r="A2619" s="4">
        <v>2614</v>
      </c>
      <c r="B2619" s="3" t="str">
        <f>"00250965"</f>
        <v>00250965</v>
      </c>
    </row>
    <row r="2620" spans="1:2" x14ac:dyDescent="0.25">
      <c r="A2620" s="4">
        <v>2615</v>
      </c>
      <c r="B2620" s="3" t="str">
        <f>"00250967"</f>
        <v>00250967</v>
      </c>
    </row>
    <row r="2621" spans="1:2" x14ac:dyDescent="0.25">
      <c r="A2621" s="4">
        <v>2616</v>
      </c>
      <c r="B2621" s="3" t="str">
        <f>"00251030"</f>
        <v>00251030</v>
      </c>
    </row>
    <row r="2622" spans="1:2" x14ac:dyDescent="0.25">
      <c r="A2622" s="4">
        <v>2617</v>
      </c>
      <c r="B2622" s="3" t="str">
        <f>"00251070"</f>
        <v>00251070</v>
      </c>
    </row>
    <row r="2623" spans="1:2" x14ac:dyDescent="0.25">
      <c r="A2623" s="4">
        <v>2618</v>
      </c>
      <c r="B2623" s="3" t="str">
        <f>"00251148"</f>
        <v>00251148</v>
      </c>
    </row>
    <row r="2624" spans="1:2" x14ac:dyDescent="0.25">
      <c r="A2624" s="4">
        <v>2619</v>
      </c>
      <c r="B2624" s="3" t="str">
        <f>"00251206"</f>
        <v>00251206</v>
      </c>
    </row>
    <row r="2625" spans="1:2" x14ac:dyDescent="0.25">
      <c r="A2625" s="4">
        <v>2620</v>
      </c>
      <c r="B2625" s="3" t="str">
        <f>"00251219"</f>
        <v>00251219</v>
      </c>
    </row>
    <row r="2626" spans="1:2" x14ac:dyDescent="0.25">
      <c r="A2626" s="4">
        <v>2621</v>
      </c>
      <c r="B2626" s="3" t="str">
        <f>"00251236"</f>
        <v>00251236</v>
      </c>
    </row>
    <row r="2627" spans="1:2" x14ac:dyDescent="0.25">
      <c r="A2627" s="4">
        <v>2622</v>
      </c>
      <c r="B2627" s="3" t="str">
        <f>"00251333"</f>
        <v>00251333</v>
      </c>
    </row>
    <row r="2628" spans="1:2" x14ac:dyDescent="0.25">
      <c r="A2628" s="4">
        <v>2623</v>
      </c>
      <c r="B2628" s="3" t="str">
        <f>"00251354"</f>
        <v>00251354</v>
      </c>
    </row>
    <row r="2629" spans="1:2" x14ac:dyDescent="0.25">
      <c r="A2629" s="4">
        <v>2624</v>
      </c>
      <c r="B2629" s="3" t="str">
        <f>"00251381"</f>
        <v>00251381</v>
      </c>
    </row>
    <row r="2630" spans="1:2" x14ac:dyDescent="0.25">
      <c r="A2630" s="4">
        <v>2625</v>
      </c>
      <c r="B2630" s="3" t="str">
        <f>"00251400"</f>
        <v>00251400</v>
      </c>
    </row>
    <row r="2631" spans="1:2" x14ac:dyDescent="0.25">
      <c r="A2631" s="4">
        <v>2626</v>
      </c>
      <c r="B2631" s="3" t="str">
        <f>"00251572"</f>
        <v>00251572</v>
      </c>
    </row>
    <row r="2632" spans="1:2" x14ac:dyDescent="0.25">
      <c r="A2632" s="4">
        <v>2627</v>
      </c>
      <c r="B2632" s="3" t="str">
        <f>"00251765"</f>
        <v>00251765</v>
      </c>
    </row>
    <row r="2633" spans="1:2" x14ac:dyDescent="0.25">
      <c r="A2633" s="4">
        <v>2628</v>
      </c>
      <c r="B2633" s="3" t="str">
        <f>"00251766"</f>
        <v>00251766</v>
      </c>
    </row>
    <row r="2634" spans="1:2" x14ac:dyDescent="0.25">
      <c r="A2634" s="4">
        <v>2629</v>
      </c>
      <c r="B2634" s="3" t="str">
        <f>"00251791"</f>
        <v>00251791</v>
      </c>
    </row>
    <row r="2635" spans="1:2" x14ac:dyDescent="0.25">
      <c r="A2635" s="4">
        <v>2630</v>
      </c>
      <c r="B2635" s="3" t="str">
        <f>"00251804"</f>
        <v>00251804</v>
      </c>
    </row>
    <row r="2636" spans="1:2" x14ac:dyDescent="0.25">
      <c r="A2636" s="4">
        <v>2631</v>
      </c>
      <c r="B2636" s="3" t="str">
        <f>"00251829"</f>
        <v>00251829</v>
      </c>
    </row>
    <row r="2637" spans="1:2" x14ac:dyDescent="0.25">
      <c r="A2637" s="4">
        <v>2632</v>
      </c>
      <c r="B2637" s="3" t="str">
        <f>"00251947"</f>
        <v>00251947</v>
      </c>
    </row>
    <row r="2638" spans="1:2" x14ac:dyDescent="0.25">
      <c r="A2638" s="4">
        <v>2633</v>
      </c>
      <c r="B2638" s="3" t="str">
        <f>"00251991"</f>
        <v>00251991</v>
      </c>
    </row>
    <row r="2639" spans="1:2" x14ac:dyDescent="0.25">
      <c r="A2639" s="4">
        <v>2634</v>
      </c>
      <c r="B2639" s="3" t="str">
        <f>"00252029"</f>
        <v>00252029</v>
      </c>
    </row>
    <row r="2640" spans="1:2" x14ac:dyDescent="0.25">
      <c r="A2640" s="4">
        <v>2635</v>
      </c>
      <c r="B2640" s="3" t="str">
        <f>"00252202"</f>
        <v>00252202</v>
      </c>
    </row>
    <row r="2641" spans="1:2" x14ac:dyDescent="0.25">
      <c r="A2641" s="4">
        <v>2636</v>
      </c>
      <c r="B2641" s="3" t="str">
        <f>"00252226"</f>
        <v>00252226</v>
      </c>
    </row>
    <row r="2642" spans="1:2" x14ac:dyDescent="0.25">
      <c r="A2642" s="4">
        <v>2637</v>
      </c>
      <c r="B2642" s="3" t="str">
        <f>"00252241"</f>
        <v>00252241</v>
      </c>
    </row>
    <row r="2643" spans="1:2" x14ac:dyDescent="0.25">
      <c r="A2643" s="4">
        <v>2638</v>
      </c>
      <c r="B2643" s="3" t="str">
        <f>"00252432"</f>
        <v>00252432</v>
      </c>
    </row>
    <row r="2644" spans="1:2" x14ac:dyDescent="0.25">
      <c r="A2644" s="4">
        <v>2639</v>
      </c>
      <c r="B2644" s="3" t="str">
        <f>"00252466"</f>
        <v>00252466</v>
      </c>
    </row>
    <row r="2645" spans="1:2" x14ac:dyDescent="0.25">
      <c r="A2645" s="4">
        <v>2640</v>
      </c>
      <c r="B2645" s="3" t="str">
        <f>"00252521"</f>
        <v>00252521</v>
      </c>
    </row>
    <row r="2646" spans="1:2" x14ac:dyDescent="0.25">
      <c r="A2646" s="4">
        <v>2641</v>
      </c>
      <c r="B2646" s="3" t="str">
        <f>"00252556"</f>
        <v>00252556</v>
      </c>
    </row>
    <row r="2647" spans="1:2" x14ac:dyDescent="0.25">
      <c r="A2647" s="4">
        <v>2642</v>
      </c>
      <c r="B2647" s="3" t="str">
        <f>"00252624"</f>
        <v>00252624</v>
      </c>
    </row>
    <row r="2648" spans="1:2" x14ac:dyDescent="0.25">
      <c r="A2648" s="4">
        <v>2643</v>
      </c>
      <c r="B2648" s="3" t="str">
        <f>"00252658"</f>
        <v>00252658</v>
      </c>
    </row>
    <row r="2649" spans="1:2" x14ac:dyDescent="0.25">
      <c r="A2649" s="4">
        <v>2644</v>
      </c>
      <c r="B2649" s="3" t="str">
        <f>"00252912"</f>
        <v>00252912</v>
      </c>
    </row>
    <row r="2650" spans="1:2" x14ac:dyDescent="0.25">
      <c r="A2650" s="4">
        <v>2645</v>
      </c>
      <c r="B2650" s="3" t="str">
        <f>"00252947"</f>
        <v>00252947</v>
      </c>
    </row>
    <row r="2651" spans="1:2" x14ac:dyDescent="0.25">
      <c r="A2651" s="4">
        <v>2646</v>
      </c>
      <c r="B2651" s="3" t="str">
        <f>"00252972"</f>
        <v>00252972</v>
      </c>
    </row>
    <row r="2652" spans="1:2" x14ac:dyDescent="0.25">
      <c r="A2652" s="4">
        <v>2647</v>
      </c>
      <c r="B2652" s="3" t="str">
        <f>"00252979"</f>
        <v>00252979</v>
      </c>
    </row>
    <row r="2653" spans="1:2" x14ac:dyDescent="0.25">
      <c r="A2653" s="4">
        <v>2648</v>
      </c>
      <c r="B2653" s="3" t="str">
        <f>"00253007"</f>
        <v>00253007</v>
      </c>
    </row>
    <row r="2654" spans="1:2" x14ac:dyDescent="0.25">
      <c r="A2654" s="4">
        <v>2649</v>
      </c>
      <c r="B2654" s="3" t="str">
        <f>"00253031"</f>
        <v>00253031</v>
      </c>
    </row>
    <row r="2655" spans="1:2" x14ac:dyDescent="0.25">
      <c r="A2655" s="4">
        <v>2650</v>
      </c>
      <c r="B2655" s="3" t="str">
        <f>"00253212"</f>
        <v>00253212</v>
      </c>
    </row>
    <row r="2656" spans="1:2" x14ac:dyDescent="0.25">
      <c r="A2656" s="4">
        <v>2651</v>
      </c>
      <c r="B2656" s="3" t="str">
        <f>"00253257"</f>
        <v>00253257</v>
      </c>
    </row>
    <row r="2657" spans="1:2" x14ac:dyDescent="0.25">
      <c r="A2657" s="4">
        <v>2652</v>
      </c>
      <c r="B2657" s="3" t="str">
        <f>"00253303"</f>
        <v>00253303</v>
      </c>
    </row>
    <row r="2658" spans="1:2" x14ac:dyDescent="0.25">
      <c r="A2658" s="4">
        <v>2653</v>
      </c>
      <c r="B2658" s="3" t="str">
        <f>"00253310"</f>
        <v>00253310</v>
      </c>
    </row>
    <row r="2659" spans="1:2" x14ac:dyDescent="0.25">
      <c r="A2659" s="4">
        <v>2654</v>
      </c>
      <c r="B2659" s="3" t="str">
        <f>"00253311"</f>
        <v>00253311</v>
      </c>
    </row>
    <row r="2660" spans="1:2" x14ac:dyDescent="0.25">
      <c r="A2660" s="4">
        <v>2655</v>
      </c>
      <c r="B2660" s="3" t="str">
        <f>"00253430"</f>
        <v>00253430</v>
      </c>
    </row>
    <row r="2661" spans="1:2" x14ac:dyDescent="0.25">
      <c r="A2661" s="4">
        <v>2656</v>
      </c>
      <c r="B2661" s="3" t="str">
        <f>"00253734"</f>
        <v>00253734</v>
      </c>
    </row>
    <row r="2662" spans="1:2" x14ac:dyDescent="0.25">
      <c r="A2662" s="4">
        <v>2657</v>
      </c>
      <c r="B2662" s="3" t="str">
        <f>"00253827"</f>
        <v>00253827</v>
      </c>
    </row>
    <row r="2663" spans="1:2" x14ac:dyDescent="0.25">
      <c r="A2663" s="4">
        <v>2658</v>
      </c>
      <c r="B2663" s="3" t="str">
        <f>"00253875"</f>
        <v>00253875</v>
      </c>
    </row>
    <row r="2664" spans="1:2" x14ac:dyDescent="0.25">
      <c r="A2664" s="4">
        <v>2659</v>
      </c>
      <c r="B2664" s="3" t="str">
        <f>"00253931"</f>
        <v>00253931</v>
      </c>
    </row>
    <row r="2665" spans="1:2" x14ac:dyDescent="0.25">
      <c r="A2665" s="4">
        <v>2660</v>
      </c>
      <c r="B2665" s="3" t="str">
        <f>"00254254"</f>
        <v>00254254</v>
      </c>
    </row>
    <row r="2666" spans="1:2" x14ac:dyDescent="0.25">
      <c r="A2666" s="4">
        <v>2661</v>
      </c>
      <c r="B2666" s="3" t="str">
        <f>"00254274"</f>
        <v>00254274</v>
      </c>
    </row>
    <row r="2667" spans="1:2" x14ac:dyDescent="0.25">
      <c r="A2667" s="4">
        <v>2662</v>
      </c>
      <c r="B2667" s="3" t="str">
        <f>"00254400"</f>
        <v>00254400</v>
      </c>
    </row>
    <row r="2668" spans="1:2" x14ac:dyDescent="0.25">
      <c r="A2668" s="4">
        <v>2663</v>
      </c>
      <c r="B2668" s="3" t="str">
        <f>"00254448"</f>
        <v>00254448</v>
      </c>
    </row>
    <row r="2669" spans="1:2" x14ac:dyDescent="0.25">
      <c r="A2669" s="4">
        <v>2664</v>
      </c>
      <c r="B2669" s="3" t="str">
        <f>"00254528"</f>
        <v>00254528</v>
      </c>
    </row>
    <row r="2670" spans="1:2" x14ac:dyDescent="0.25">
      <c r="A2670" s="4">
        <v>2665</v>
      </c>
      <c r="B2670" s="3" t="str">
        <f>"00254653"</f>
        <v>00254653</v>
      </c>
    </row>
    <row r="2671" spans="1:2" x14ac:dyDescent="0.25">
      <c r="A2671" s="4">
        <v>2666</v>
      </c>
      <c r="B2671" s="3" t="str">
        <f>"00254655"</f>
        <v>00254655</v>
      </c>
    </row>
    <row r="2672" spans="1:2" x14ac:dyDescent="0.25">
      <c r="A2672" s="4">
        <v>2667</v>
      </c>
      <c r="B2672" s="3" t="str">
        <f>"00254681"</f>
        <v>00254681</v>
      </c>
    </row>
    <row r="2673" spans="1:2" x14ac:dyDescent="0.25">
      <c r="A2673" s="4">
        <v>2668</v>
      </c>
      <c r="B2673" s="3" t="str">
        <f>"00254773"</f>
        <v>00254773</v>
      </c>
    </row>
    <row r="2674" spans="1:2" x14ac:dyDescent="0.25">
      <c r="A2674" s="4">
        <v>2669</v>
      </c>
      <c r="B2674" s="3" t="str">
        <f>"00254861"</f>
        <v>00254861</v>
      </c>
    </row>
    <row r="2675" spans="1:2" x14ac:dyDescent="0.25">
      <c r="A2675" s="4">
        <v>2670</v>
      </c>
      <c r="B2675" s="3" t="str">
        <f>"00254943"</f>
        <v>00254943</v>
      </c>
    </row>
    <row r="2676" spans="1:2" x14ac:dyDescent="0.25">
      <c r="A2676" s="4">
        <v>2671</v>
      </c>
      <c r="B2676" s="3" t="str">
        <f>"00254944"</f>
        <v>00254944</v>
      </c>
    </row>
    <row r="2677" spans="1:2" x14ac:dyDescent="0.25">
      <c r="A2677" s="4">
        <v>2672</v>
      </c>
      <c r="B2677" s="3" t="str">
        <f>"00254990"</f>
        <v>00254990</v>
      </c>
    </row>
    <row r="2678" spans="1:2" x14ac:dyDescent="0.25">
      <c r="A2678" s="4">
        <v>2673</v>
      </c>
      <c r="B2678" s="3" t="str">
        <f>"00255009"</f>
        <v>00255009</v>
      </c>
    </row>
    <row r="2679" spans="1:2" x14ac:dyDescent="0.25">
      <c r="A2679" s="4">
        <v>2674</v>
      </c>
      <c r="B2679" s="3" t="str">
        <f>"00255043"</f>
        <v>00255043</v>
      </c>
    </row>
    <row r="2680" spans="1:2" x14ac:dyDescent="0.25">
      <c r="A2680" s="4">
        <v>2675</v>
      </c>
      <c r="B2680" s="3" t="str">
        <f>"00255084"</f>
        <v>00255084</v>
      </c>
    </row>
    <row r="2681" spans="1:2" x14ac:dyDescent="0.25">
      <c r="A2681" s="4">
        <v>2676</v>
      </c>
      <c r="B2681" s="3" t="str">
        <f>"00255124"</f>
        <v>00255124</v>
      </c>
    </row>
    <row r="2682" spans="1:2" x14ac:dyDescent="0.25">
      <c r="A2682" s="4">
        <v>2677</v>
      </c>
      <c r="B2682" s="3" t="str">
        <f>"00255314"</f>
        <v>00255314</v>
      </c>
    </row>
    <row r="2683" spans="1:2" x14ac:dyDescent="0.25">
      <c r="A2683" s="4">
        <v>2678</v>
      </c>
      <c r="B2683" s="3" t="str">
        <f>"00255385"</f>
        <v>00255385</v>
      </c>
    </row>
    <row r="2684" spans="1:2" x14ac:dyDescent="0.25">
      <c r="A2684" s="4">
        <v>2679</v>
      </c>
      <c r="B2684" s="3" t="str">
        <f>"00255454"</f>
        <v>00255454</v>
      </c>
    </row>
    <row r="2685" spans="1:2" x14ac:dyDescent="0.25">
      <c r="A2685" s="4">
        <v>2680</v>
      </c>
      <c r="B2685" s="3" t="str">
        <f>"00255470"</f>
        <v>00255470</v>
      </c>
    </row>
    <row r="2686" spans="1:2" x14ac:dyDescent="0.25">
      <c r="A2686" s="4">
        <v>2681</v>
      </c>
      <c r="B2686" s="3" t="str">
        <f>"00255487"</f>
        <v>00255487</v>
      </c>
    </row>
    <row r="2687" spans="1:2" x14ac:dyDescent="0.25">
      <c r="A2687" s="4">
        <v>2682</v>
      </c>
      <c r="B2687" s="3" t="str">
        <f>"00255496"</f>
        <v>00255496</v>
      </c>
    </row>
    <row r="2688" spans="1:2" x14ac:dyDescent="0.25">
      <c r="A2688" s="4">
        <v>2683</v>
      </c>
      <c r="B2688" s="3" t="str">
        <f>"00255498"</f>
        <v>00255498</v>
      </c>
    </row>
    <row r="2689" spans="1:2" x14ac:dyDescent="0.25">
      <c r="A2689" s="4">
        <v>2684</v>
      </c>
      <c r="B2689" s="3" t="str">
        <f>"00255547"</f>
        <v>00255547</v>
      </c>
    </row>
    <row r="2690" spans="1:2" x14ac:dyDescent="0.25">
      <c r="A2690" s="4">
        <v>2685</v>
      </c>
      <c r="B2690" s="3" t="str">
        <f>"00255573"</f>
        <v>00255573</v>
      </c>
    </row>
    <row r="2691" spans="1:2" x14ac:dyDescent="0.25">
      <c r="A2691" s="4">
        <v>2686</v>
      </c>
      <c r="B2691" s="3" t="str">
        <f>"00255606"</f>
        <v>00255606</v>
      </c>
    </row>
    <row r="2692" spans="1:2" x14ac:dyDescent="0.25">
      <c r="A2692" s="4">
        <v>2687</v>
      </c>
      <c r="B2692" s="3" t="str">
        <f>"00255637"</f>
        <v>00255637</v>
      </c>
    </row>
    <row r="2693" spans="1:2" x14ac:dyDescent="0.25">
      <c r="A2693" s="4">
        <v>2688</v>
      </c>
      <c r="B2693" s="3" t="str">
        <f>"00255641"</f>
        <v>00255641</v>
      </c>
    </row>
    <row r="2694" spans="1:2" x14ac:dyDescent="0.25">
      <c r="A2694" s="4">
        <v>2689</v>
      </c>
      <c r="B2694" s="3" t="str">
        <f>"00255704"</f>
        <v>00255704</v>
      </c>
    </row>
    <row r="2695" spans="1:2" x14ac:dyDescent="0.25">
      <c r="A2695" s="4">
        <v>2690</v>
      </c>
      <c r="B2695" s="3" t="str">
        <f>"00255865"</f>
        <v>00255865</v>
      </c>
    </row>
    <row r="2696" spans="1:2" x14ac:dyDescent="0.25">
      <c r="A2696" s="4">
        <v>2691</v>
      </c>
      <c r="B2696" s="3" t="str">
        <f>"00255880"</f>
        <v>00255880</v>
      </c>
    </row>
    <row r="2697" spans="1:2" x14ac:dyDescent="0.25">
      <c r="A2697" s="4">
        <v>2692</v>
      </c>
      <c r="B2697" s="3" t="str">
        <f>"00255888"</f>
        <v>00255888</v>
      </c>
    </row>
    <row r="2698" spans="1:2" x14ac:dyDescent="0.25">
      <c r="A2698" s="4">
        <v>2693</v>
      </c>
      <c r="B2698" s="3" t="str">
        <f>"00255925"</f>
        <v>00255925</v>
      </c>
    </row>
    <row r="2699" spans="1:2" x14ac:dyDescent="0.25">
      <c r="A2699" s="4">
        <v>2694</v>
      </c>
      <c r="B2699" s="3" t="str">
        <f>"00255938"</f>
        <v>00255938</v>
      </c>
    </row>
    <row r="2700" spans="1:2" x14ac:dyDescent="0.25">
      <c r="A2700" s="4">
        <v>2695</v>
      </c>
      <c r="B2700" s="3" t="str">
        <f>"00255980"</f>
        <v>00255980</v>
      </c>
    </row>
    <row r="2701" spans="1:2" x14ac:dyDescent="0.25">
      <c r="A2701" s="4">
        <v>2696</v>
      </c>
      <c r="B2701" s="3" t="str">
        <f>"00256028"</f>
        <v>00256028</v>
      </c>
    </row>
    <row r="2702" spans="1:2" x14ac:dyDescent="0.25">
      <c r="A2702" s="4">
        <v>2697</v>
      </c>
      <c r="B2702" s="3" t="str">
        <f>"00256197"</f>
        <v>00256197</v>
      </c>
    </row>
    <row r="2703" spans="1:2" x14ac:dyDescent="0.25">
      <c r="A2703" s="4">
        <v>2698</v>
      </c>
      <c r="B2703" s="3" t="str">
        <f>"00256240"</f>
        <v>00256240</v>
      </c>
    </row>
    <row r="2704" spans="1:2" x14ac:dyDescent="0.25">
      <c r="A2704" s="4">
        <v>2699</v>
      </c>
      <c r="B2704" s="3" t="str">
        <f>"00256307"</f>
        <v>00256307</v>
      </c>
    </row>
    <row r="2705" spans="1:2" x14ac:dyDescent="0.25">
      <c r="A2705" s="4">
        <v>2700</v>
      </c>
      <c r="B2705" s="3" t="str">
        <f>"00256403"</f>
        <v>00256403</v>
      </c>
    </row>
    <row r="2706" spans="1:2" x14ac:dyDescent="0.25">
      <c r="A2706" s="4">
        <v>2701</v>
      </c>
      <c r="B2706" s="3" t="str">
        <f>"00256492"</f>
        <v>00256492</v>
      </c>
    </row>
    <row r="2707" spans="1:2" x14ac:dyDescent="0.25">
      <c r="A2707" s="4">
        <v>2702</v>
      </c>
      <c r="B2707" s="3" t="str">
        <f>"00256504"</f>
        <v>00256504</v>
      </c>
    </row>
    <row r="2708" spans="1:2" x14ac:dyDescent="0.25">
      <c r="A2708" s="4">
        <v>2703</v>
      </c>
      <c r="B2708" s="3" t="str">
        <f>"00256567"</f>
        <v>00256567</v>
      </c>
    </row>
    <row r="2709" spans="1:2" x14ac:dyDescent="0.25">
      <c r="A2709" s="4">
        <v>2704</v>
      </c>
      <c r="B2709" s="3" t="str">
        <f>"00256609"</f>
        <v>00256609</v>
      </c>
    </row>
    <row r="2710" spans="1:2" x14ac:dyDescent="0.25">
      <c r="A2710" s="4">
        <v>2705</v>
      </c>
      <c r="B2710" s="3" t="str">
        <f>"00256719"</f>
        <v>00256719</v>
      </c>
    </row>
    <row r="2711" spans="1:2" x14ac:dyDescent="0.25">
      <c r="A2711" s="4">
        <v>2706</v>
      </c>
      <c r="B2711" s="3" t="str">
        <f>"00256773"</f>
        <v>00256773</v>
      </c>
    </row>
    <row r="2712" spans="1:2" x14ac:dyDescent="0.25">
      <c r="A2712" s="4">
        <v>2707</v>
      </c>
      <c r="B2712" s="3" t="str">
        <f>"00256845"</f>
        <v>00256845</v>
      </c>
    </row>
    <row r="2713" spans="1:2" x14ac:dyDescent="0.25">
      <c r="A2713" s="4">
        <v>2708</v>
      </c>
      <c r="B2713" s="3" t="str">
        <f>"00256877"</f>
        <v>00256877</v>
      </c>
    </row>
    <row r="2714" spans="1:2" x14ac:dyDescent="0.25">
      <c r="A2714" s="4">
        <v>2709</v>
      </c>
      <c r="B2714" s="3" t="str">
        <f>"00256880"</f>
        <v>00256880</v>
      </c>
    </row>
    <row r="2715" spans="1:2" x14ac:dyDescent="0.25">
      <c r="A2715" s="4">
        <v>2710</v>
      </c>
      <c r="B2715" s="3" t="str">
        <f>"00256930"</f>
        <v>00256930</v>
      </c>
    </row>
    <row r="2716" spans="1:2" x14ac:dyDescent="0.25">
      <c r="A2716" s="4">
        <v>2711</v>
      </c>
      <c r="B2716" s="3" t="str">
        <f>"00257035"</f>
        <v>00257035</v>
      </c>
    </row>
    <row r="2717" spans="1:2" x14ac:dyDescent="0.25">
      <c r="A2717" s="4">
        <v>2712</v>
      </c>
      <c r="B2717" s="3" t="str">
        <f>"00257081"</f>
        <v>00257081</v>
      </c>
    </row>
    <row r="2718" spans="1:2" x14ac:dyDescent="0.25">
      <c r="A2718" s="4">
        <v>2713</v>
      </c>
      <c r="B2718" s="3" t="str">
        <f>"00257087"</f>
        <v>00257087</v>
      </c>
    </row>
    <row r="2719" spans="1:2" x14ac:dyDescent="0.25">
      <c r="A2719" s="4">
        <v>2714</v>
      </c>
      <c r="B2719" s="3" t="str">
        <f>"00257093"</f>
        <v>00257093</v>
      </c>
    </row>
    <row r="2720" spans="1:2" x14ac:dyDescent="0.25">
      <c r="A2720" s="4">
        <v>2715</v>
      </c>
      <c r="B2720" s="3" t="str">
        <f>"00257142"</f>
        <v>00257142</v>
      </c>
    </row>
    <row r="2721" spans="1:2" x14ac:dyDescent="0.25">
      <c r="A2721" s="4">
        <v>2716</v>
      </c>
      <c r="B2721" s="3" t="str">
        <f>"00257153"</f>
        <v>00257153</v>
      </c>
    </row>
    <row r="2722" spans="1:2" x14ac:dyDescent="0.25">
      <c r="A2722" s="4">
        <v>2717</v>
      </c>
      <c r="B2722" s="3" t="str">
        <f>"00257181"</f>
        <v>00257181</v>
      </c>
    </row>
    <row r="2723" spans="1:2" x14ac:dyDescent="0.25">
      <c r="A2723" s="4">
        <v>2718</v>
      </c>
      <c r="B2723" s="3" t="str">
        <f>"00257197"</f>
        <v>00257197</v>
      </c>
    </row>
    <row r="2724" spans="1:2" x14ac:dyDescent="0.25">
      <c r="A2724" s="4">
        <v>2719</v>
      </c>
      <c r="B2724" s="3" t="str">
        <f>"00257284"</f>
        <v>00257284</v>
      </c>
    </row>
    <row r="2725" spans="1:2" x14ac:dyDescent="0.25">
      <c r="A2725" s="4">
        <v>2720</v>
      </c>
      <c r="B2725" s="3" t="str">
        <f>"00257338"</f>
        <v>00257338</v>
      </c>
    </row>
    <row r="2726" spans="1:2" x14ac:dyDescent="0.25">
      <c r="A2726" s="4">
        <v>2721</v>
      </c>
      <c r="B2726" s="3" t="str">
        <f>"00257356"</f>
        <v>00257356</v>
      </c>
    </row>
    <row r="2727" spans="1:2" x14ac:dyDescent="0.25">
      <c r="A2727" s="4">
        <v>2722</v>
      </c>
      <c r="B2727" s="3" t="str">
        <f>"00257361"</f>
        <v>00257361</v>
      </c>
    </row>
    <row r="2728" spans="1:2" x14ac:dyDescent="0.25">
      <c r="A2728" s="4">
        <v>2723</v>
      </c>
      <c r="B2728" s="3" t="str">
        <f>"00257406"</f>
        <v>00257406</v>
      </c>
    </row>
    <row r="2729" spans="1:2" x14ac:dyDescent="0.25">
      <c r="A2729" s="4">
        <v>2724</v>
      </c>
      <c r="B2729" s="3" t="str">
        <f>"00257408"</f>
        <v>00257408</v>
      </c>
    </row>
    <row r="2730" spans="1:2" x14ac:dyDescent="0.25">
      <c r="A2730" s="4">
        <v>2725</v>
      </c>
      <c r="B2730" s="3" t="str">
        <f>"00257469"</f>
        <v>00257469</v>
      </c>
    </row>
    <row r="2731" spans="1:2" x14ac:dyDescent="0.25">
      <c r="A2731" s="4">
        <v>2726</v>
      </c>
      <c r="B2731" s="3" t="str">
        <f>"00257494"</f>
        <v>00257494</v>
      </c>
    </row>
    <row r="2732" spans="1:2" x14ac:dyDescent="0.25">
      <c r="A2732" s="4">
        <v>2727</v>
      </c>
      <c r="B2732" s="3" t="str">
        <f>"00257500"</f>
        <v>00257500</v>
      </c>
    </row>
    <row r="2733" spans="1:2" x14ac:dyDescent="0.25">
      <c r="A2733" s="4">
        <v>2728</v>
      </c>
      <c r="B2733" s="3" t="str">
        <f>"00257526"</f>
        <v>00257526</v>
      </c>
    </row>
    <row r="2734" spans="1:2" x14ac:dyDescent="0.25">
      <c r="A2734" s="4">
        <v>2729</v>
      </c>
      <c r="B2734" s="3" t="str">
        <f>"00257567"</f>
        <v>00257567</v>
      </c>
    </row>
    <row r="2735" spans="1:2" x14ac:dyDescent="0.25">
      <c r="A2735" s="4">
        <v>2730</v>
      </c>
      <c r="B2735" s="3" t="str">
        <f>"00257650"</f>
        <v>00257650</v>
      </c>
    </row>
    <row r="2736" spans="1:2" x14ac:dyDescent="0.25">
      <c r="A2736" s="4">
        <v>2731</v>
      </c>
      <c r="B2736" s="3" t="str">
        <f>"00257726"</f>
        <v>00257726</v>
      </c>
    </row>
    <row r="2737" spans="1:2" x14ac:dyDescent="0.25">
      <c r="A2737" s="4">
        <v>2732</v>
      </c>
      <c r="B2737" s="3" t="str">
        <f>"00257788"</f>
        <v>00257788</v>
      </c>
    </row>
    <row r="2738" spans="1:2" x14ac:dyDescent="0.25">
      <c r="A2738" s="4">
        <v>2733</v>
      </c>
      <c r="B2738" s="3" t="str">
        <f>"00257948"</f>
        <v>00257948</v>
      </c>
    </row>
    <row r="2739" spans="1:2" x14ac:dyDescent="0.25">
      <c r="A2739" s="4">
        <v>2734</v>
      </c>
      <c r="B2739" s="3" t="str">
        <f>"00257970"</f>
        <v>00257970</v>
      </c>
    </row>
    <row r="2740" spans="1:2" x14ac:dyDescent="0.25">
      <c r="A2740" s="4">
        <v>2735</v>
      </c>
      <c r="B2740" s="3" t="str">
        <f>"00258065"</f>
        <v>00258065</v>
      </c>
    </row>
    <row r="2741" spans="1:2" x14ac:dyDescent="0.25">
      <c r="A2741" s="4">
        <v>2736</v>
      </c>
      <c r="B2741" s="3" t="str">
        <f>"00258142"</f>
        <v>00258142</v>
      </c>
    </row>
    <row r="2742" spans="1:2" x14ac:dyDescent="0.25">
      <c r="A2742" s="4">
        <v>2737</v>
      </c>
      <c r="B2742" s="3" t="str">
        <f>"00258146"</f>
        <v>00258146</v>
      </c>
    </row>
    <row r="2743" spans="1:2" x14ac:dyDescent="0.25">
      <c r="A2743" s="4">
        <v>2738</v>
      </c>
      <c r="B2743" s="3" t="str">
        <f>"00258208"</f>
        <v>00258208</v>
      </c>
    </row>
    <row r="2744" spans="1:2" x14ac:dyDescent="0.25">
      <c r="A2744" s="4">
        <v>2739</v>
      </c>
      <c r="B2744" s="3" t="str">
        <f>"00258293"</f>
        <v>00258293</v>
      </c>
    </row>
    <row r="2745" spans="1:2" x14ac:dyDescent="0.25">
      <c r="A2745" s="4">
        <v>2740</v>
      </c>
      <c r="B2745" s="3" t="str">
        <f>"00258306"</f>
        <v>00258306</v>
      </c>
    </row>
    <row r="2746" spans="1:2" x14ac:dyDescent="0.25">
      <c r="A2746" s="4">
        <v>2741</v>
      </c>
      <c r="B2746" s="3" t="str">
        <f>"00258314"</f>
        <v>00258314</v>
      </c>
    </row>
    <row r="2747" spans="1:2" x14ac:dyDescent="0.25">
      <c r="A2747" s="4">
        <v>2742</v>
      </c>
      <c r="B2747" s="3" t="str">
        <f>"00258536"</f>
        <v>00258536</v>
      </c>
    </row>
    <row r="2748" spans="1:2" x14ac:dyDescent="0.25">
      <c r="A2748" s="4">
        <v>2743</v>
      </c>
      <c r="B2748" s="3" t="str">
        <f>"00258627"</f>
        <v>00258627</v>
      </c>
    </row>
    <row r="2749" spans="1:2" x14ac:dyDescent="0.25">
      <c r="A2749" s="4">
        <v>2744</v>
      </c>
      <c r="B2749" s="3" t="str">
        <f>"00258721"</f>
        <v>00258721</v>
      </c>
    </row>
    <row r="2750" spans="1:2" x14ac:dyDescent="0.25">
      <c r="A2750" s="4">
        <v>2745</v>
      </c>
      <c r="B2750" s="3" t="str">
        <f>"00259088"</f>
        <v>00259088</v>
      </c>
    </row>
    <row r="2751" spans="1:2" x14ac:dyDescent="0.25">
      <c r="A2751" s="4">
        <v>2746</v>
      </c>
      <c r="B2751" s="3" t="str">
        <f>"00259093"</f>
        <v>00259093</v>
      </c>
    </row>
    <row r="2752" spans="1:2" x14ac:dyDescent="0.25">
      <c r="A2752" s="4">
        <v>2747</v>
      </c>
      <c r="B2752" s="3" t="str">
        <f>"00259098"</f>
        <v>00259098</v>
      </c>
    </row>
    <row r="2753" spans="1:2" x14ac:dyDescent="0.25">
      <c r="A2753" s="4">
        <v>2748</v>
      </c>
      <c r="B2753" s="3" t="str">
        <f>"00259134"</f>
        <v>00259134</v>
      </c>
    </row>
    <row r="2754" spans="1:2" x14ac:dyDescent="0.25">
      <c r="A2754" s="4">
        <v>2749</v>
      </c>
      <c r="B2754" s="3" t="str">
        <f>"00259172"</f>
        <v>00259172</v>
      </c>
    </row>
    <row r="2755" spans="1:2" x14ac:dyDescent="0.25">
      <c r="A2755" s="4">
        <v>2750</v>
      </c>
      <c r="B2755" s="3" t="str">
        <f>"00259245"</f>
        <v>00259245</v>
      </c>
    </row>
    <row r="2756" spans="1:2" x14ac:dyDescent="0.25">
      <c r="A2756" s="4">
        <v>2751</v>
      </c>
      <c r="B2756" s="3" t="str">
        <f>"00259251"</f>
        <v>00259251</v>
      </c>
    </row>
    <row r="2757" spans="1:2" x14ac:dyDescent="0.25">
      <c r="A2757" s="4">
        <v>2752</v>
      </c>
      <c r="B2757" s="3" t="str">
        <f>"00259309"</f>
        <v>00259309</v>
      </c>
    </row>
    <row r="2758" spans="1:2" x14ac:dyDescent="0.25">
      <c r="A2758" s="4">
        <v>2753</v>
      </c>
      <c r="B2758" s="3" t="str">
        <f>"00259321"</f>
        <v>00259321</v>
      </c>
    </row>
    <row r="2759" spans="1:2" x14ac:dyDescent="0.25">
      <c r="A2759" s="4">
        <v>2754</v>
      </c>
      <c r="B2759" s="3" t="str">
        <f>"00259380"</f>
        <v>00259380</v>
      </c>
    </row>
    <row r="2760" spans="1:2" x14ac:dyDescent="0.25">
      <c r="A2760" s="4">
        <v>2755</v>
      </c>
      <c r="B2760" s="3" t="str">
        <f>"00259440"</f>
        <v>00259440</v>
      </c>
    </row>
    <row r="2761" spans="1:2" x14ac:dyDescent="0.25">
      <c r="A2761" s="4">
        <v>2756</v>
      </c>
      <c r="B2761" s="3" t="str">
        <f>"00259471"</f>
        <v>00259471</v>
      </c>
    </row>
    <row r="2762" spans="1:2" x14ac:dyDescent="0.25">
      <c r="A2762" s="4">
        <v>2757</v>
      </c>
      <c r="B2762" s="3" t="str">
        <f>"00259515"</f>
        <v>00259515</v>
      </c>
    </row>
    <row r="2763" spans="1:2" x14ac:dyDescent="0.25">
      <c r="A2763" s="4">
        <v>2758</v>
      </c>
      <c r="B2763" s="3" t="str">
        <f>"00259539"</f>
        <v>00259539</v>
      </c>
    </row>
    <row r="2764" spans="1:2" x14ac:dyDescent="0.25">
      <c r="A2764" s="4">
        <v>2759</v>
      </c>
      <c r="B2764" s="3" t="str">
        <f>"00259618"</f>
        <v>00259618</v>
      </c>
    </row>
    <row r="2765" spans="1:2" x14ac:dyDescent="0.25">
      <c r="A2765" s="4">
        <v>2760</v>
      </c>
      <c r="B2765" s="3" t="str">
        <f>"00259621"</f>
        <v>00259621</v>
      </c>
    </row>
    <row r="2766" spans="1:2" x14ac:dyDescent="0.25">
      <c r="A2766" s="4">
        <v>2761</v>
      </c>
      <c r="B2766" s="3" t="str">
        <f>"00259692"</f>
        <v>00259692</v>
      </c>
    </row>
    <row r="2767" spans="1:2" x14ac:dyDescent="0.25">
      <c r="A2767" s="4">
        <v>2762</v>
      </c>
      <c r="B2767" s="3" t="str">
        <f>"00259701"</f>
        <v>00259701</v>
      </c>
    </row>
    <row r="2768" spans="1:2" x14ac:dyDescent="0.25">
      <c r="A2768" s="4">
        <v>2763</v>
      </c>
      <c r="B2768" s="3" t="str">
        <f>"00259790"</f>
        <v>00259790</v>
      </c>
    </row>
    <row r="2769" spans="1:2" x14ac:dyDescent="0.25">
      <c r="A2769" s="4">
        <v>2764</v>
      </c>
      <c r="B2769" s="3" t="str">
        <f>"00259843"</f>
        <v>00259843</v>
      </c>
    </row>
    <row r="2770" spans="1:2" x14ac:dyDescent="0.25">
      <c r="A2770" s="4">
        <v>2765</v>
      </c>
      <c r="B2770" s="3" t="str">
        <f>"00259858"</f>
        <v>00259858</v>
      </c>
    </row>
    <row r="2771" spans="1:2" x14ac:dyDescent="0.25">
      <c r="A2771" s="4">
        <v>2766</v>
      </c>
      <c r="B2771" s="3" t="str">
        <f>"00259902"</f>
        <v>00259902</v>
      </c>
    </row>
    <row r="2772" spans="1:2" x14ac:dyDescent="0.25">
      <c r="A2772" s="4">
        <v>2767</v>
      </c>
      <c r="B2772" s="3" t="str">
        <f>"00259913"</f>
        <v>00259913</v>
      </c>
    </row>
    <row r="2773" spans="1:2" x14ac:dyDescent="0.25">
      <c r="A2773" s="4">
        <v>2768</v>
      </c>
      <c r="B2773" s="3" t="str">
        <f>"00259975"</f>
        <v>00259975</v>
      </c>
    </row>
    <row r="2774" spans="1:2" x14ac:dyDescent="0.25">
      <c r="A2774" s="4">
        <v>2769</v>
      </c>
      <c r="B2774" s="3" t="str">
        <f>"00259976"</f>
        <v>00259976</v>
      </c>
    </row>
    <row r="2775" spans="1:2" x14ac:dyDescent="0.25">
      <c r="A2775" s="4">
        <v>2770</v>
      </c>
      <c r="B2775" s="3" t="str">
        <f>"00260033"</f>
        <v>00260033</v>
      </c>
    </row>
    <row r="2776" spans="1:2" x14ac:dyDescent="0.25">
      <c r="A2776" s="4">
        <v>2771</v>
      </c>
      <c r="B2776" s="3" t="str">
        <f>"00260035"</f>
        <v>00260035</v>
      </c>
    </row>
    <row r="2777" spans="1:2" x14ac:dyDescent="0.25">
      <c r="A2777" s="4">
        <v>2772</v>
      </c>
      <c r="B2777" s="3" t="str">
        <f>"00260236"</f>
        <v>00260236</v>
      </c>
    </row>
    <row r="2778" spans="1:2" x14ac:dyDescent="0.25">
      <c r="A2778" s="4">
        <v>2773</v>
      </c>
      <c r="B2778" s="3" t="str">
        <f>"00260261"</f>
        <v>00260261</v>
      </c>
    </row>
    <row r="2779" spans="1:2" x14ac:dyDescent="0.25">
      <c r="A2779" s="4">
        <v>2774</v>
      </c>
      <c r="B2779" s="3" t="str">
        <f>"00260285"</f>
        <v>00260285</v>
      </c>
    </row>
    <row r="2780" spans="1:2" x14ac:dyDescent="0.25">
      <c r="A2780" s="4">
        <v>2775</v>
      </c>
      <c r="B2780" s="3" t="str">
        <f>"00260342"</f>
        <v>00260342</v>
      </c>
    </row>
    <row r="2781" spans="1:2" x14ac:dyDescent="0.25">
      <c r="A2781" s="4">
        <v>2776</v>
      </c>
      <c r="B2781" s="3" t="str">
        <f>"00260426"</f>
        <v>00260426</v>
      </c>
    </row>
    <row r="2782" spans="1:2" x14ac:dyDescent="0.25">
      <c r="A2782" s="4">
        <v>2777</v>
      </c>
      <c r="B2782" s="3" t="str">
        <f>"00260630"</f>
        <v>00260630</v>
      </c>
    </row>
    <row r="2783" spans="1:2" x14ac:dyDescent="0.25">
      <c r="A2783" s="4">
        <v>2778</v>
      </c>
      <c r="B2783" s="3" t="str">
        <f>"00260712"</f>
        <v>00260712</v>
      </c>
    </row>
    <row r="2784" spans="1:2" x14ac:dyDescent="0.25">
      <c r="A2784" s="4">
        <v>2779</v>
      </c>
      <c r="B2784" s="3" t="str">
        <f>"00260713"</f>
        <v>00260713</v>
      </c>
    </row>
    <row r="2785" spans="1:2" x14ac:dyDescent="0.25">
      <c r="A2785" s="4">
        <v>2780</v>
      </c>
      <c r="B2785" s="3" t="str">
        <f>"00260816"</f>
        <v>00260816</v>
      </c>
    </row>
    <row r="2786" spans="1:2" x14ac:dyDescent="0.25">
      <c r="A2786" s="4">
        <v>2781</v>
      </c>
      <c r="B2786" s="3" t="str">
        <f>"00260826"</f>
        <v>00260826</v>
      </c>
    </row>
    <row r="2787" spans="1:2" x14ac:dyDescent="0.25">
      <c r="A2787" s="4">
        <v>2782</v>
      </c>
      <c r="B2787" s="3" t="str">
        <f>"00260869"</f>
        <v>00260869</v>
      </c>
    </row>
    <row r="2788" spans="1:2" x14ac:dyDescent="0.25">
      <c r="A2788" s="4">
        <v>2783</v>
      </c>
      <c r="B2788" s="3" t="str">
        <f>"00261149"</f>
        <v>00261149</v>
      </c>
    </row>
    <row r="2789" spans="1:2" x14ac:dyDescent="0.25">
      <c r="A2789" s="4">
        <v>2784</v>
      </c>
      <c r="B2789" s="3" t="str">
        <f>"00261185"</f>
        <v>00261185</v>
      </c>
    </row>
    <row r="2790" spans="1:2" x14ac:dyDescent="0.25">
      <c r="A2790" s="4">
        <v>2785</v>
      </c>
      <c r="B2790" s="3" t="str">
        <f>"00261236"</f>
        <v>00261236</v>
      </c>
    </row>
    <row r="2791" spans="1:2" x14ac:dyDescent="0.25">
      <c r="A2791" s="4">
        <v>2786</v>
      </c>
      <c r="B2791" s="3" t="str">
        <f>"00261250"</f>
        <v>00261250</v>
      </c>
    </row>
    <row r="2792" spans="1:2" x14ac:dyDescent="0.25">
      <c r="A2792" s="4">
        <v>2787</v>
      </c>
      <c r="B2792" s="3" t="str">
        <f>"00261348"</f>
        <v>00261348</v>
      </c>
    </row>
    <row r="2793" spans="1:2" x14ac:dyDescent="0.25">
      <c r="A2793" s="4">
        <v>2788</v>
      </c>
      <c r="B2793" s="3" t="str">
        <f>"00261353"</f>
        <v>00261353</v>
      </c>
    </row>
    <row r="2794" spans="1:2" x14ac:dyDescent="0.25">
      <c r="A2794" s="4">
        <v>2789</v>
      </c>
      <c r="B2794" s="3" t="str">
        <f>"00261410"</f>
        <v>00261410</v>
      </c>
    </row>
    <row r="2795" spans="1:2" x14ac:dyDescent="0.25">
      <c r="A2795" s="4">
        <v>2790</v>
      </c>
      <c r="B2795" s="3" t="str">
        <f>"00261440"</f>
        <v>00261440</v>
      </c>
    </row>
    <row r="2796" spans="1:2" x14ac:dyDescent="0.25">
      <c r="A2796" s="4">
        <v>2791</v>
      </c>
      <c r="B2796" s="3" t="str">
        <f>"00261482"</f>
        <v>00261482</v>
      </c>
    </row>
    <row r="2797" spans="1:2" x14ac:dyDescent="0.25">
      <c r="A2797" s="4">
        <v>2792</v>
      </c>
      <c r="B2797" s="3" t="str">
        <f>"00261558"</f>
        <v>00261558</v>
      </c>
    </row>
    <row r="2798" spans="1:2" x14ac:dyDescent="0.25">
      <c r="A2798" s="4">
        <v>2793</v>
      </c>
      <c r="B2798" s="3" t="str">
        <f>"00261724"</f>
        <v>00261724</v>
      </c>
    </row>
    <row r="2799" spans="1:2" x14ac:dyDescent="0.25">
      <c r="A2799" s="4">
        <v>2794</v>
      </c>
      <c r="B2799" s="3" t="str">
        <f>"00261822"</f>
        <v>00261822</v>
      </c>
    </row>
    <row r="2800" spans="1:2" x14ac:dyDescent="0.25">
      <c r="A2800" s="4">
        <v>2795</v>
      </c>
      <c r="B2800" s="3" t="str">
        <f>"00261826"</f>
        <v>00261826</v>
      </c>
    </row>
    <row r="2801" spans="1:2" x14ac:dyDescent="0.25">
      <c r="A2801" s="4">
        <v>2796</v>
      </c>
      <c r="B2801" s="3" t="str">
        <f>"00261996"</f>
        <v>00261996</v>
      </c>
    </row>
    <row r="2802" spans="1:2" x14ac:dyDescent="0.25">
      <c r="A2802" s="4">
        <v>2797</v>
      </c>
      <c r="B2802" s="3" t="str">
        <f>"00262067"</f>
        <v>00262067</v>
      </c>
    </row>
    <row r="2803" spans="1:2" x14ac:dyDescent="0.25">
      <c r="A2803" s="4">
        <v>2798</v>
      </c>
      <c r="B2803" s="3" t="str">
        <f>"00262081"</f>
        <v>00262081</v>
      </c>
    </row>
    <row r="2804" spans="1:2" x14ac:dyDescent="0.25">
      <c r="A2804" s="4">
        <v>2799</v>
      </c>
      <c r="B2804" s="3" t="str">
        <f>"00262223"</f>
        <v>00262223</v>
      </c>
    </row>
    <row r="2805" spans="1:2" x14ac:dyDescent="0.25">
      <c r="A2805" s="4">
        <v>2800</v>
      </c>
      <c r="B2805" s="3" t="str">
        <f>"00262303"</f>
        <v>00262303</v>
      </c>
    </row>
    <row r="2806" spans="1:2" x14ac:dyDescent="0.25">
      <c r="A2806" s="4">
        <v>2801</v>
      </c>
      <c r="B2806" s="3" t="str">
        <f>"00262356"</f>
        <v>00262356</v>
      </c>
    </row>
    <row r="2807" spans="1:2" x14ac:dyDescent="0.25">
      <c r="A2807" s="4">
        <v>2802</v>
      </c>
      <c r="B2807" s="3" t="str">
        <f>"00262380"</f>
        <v>00262380</v>
      </c>
    </row>
    <row r="2808" spans="1:2" x14ac:dyDescent="0.25">
      <c r="A2808" s="4">
        <v>2803</v>
      </c>
      <c r="B2808" s="3" t="str">
        <f>"00262585"</f>
        <v>00262585</v>
      </c>
    </row>
    <row r="2809" spans="1:2" x14ac:dyDescent="0.25">
      <c r="A2809" s="4">
        <v>2804</v>
      </c>
      <c r="B2809" s="3" t="str">
        <f>"00262693"</f>
        <v>00262693</v>
      </c>
    </row>
    <row r="2810" spans="1:2" x14ac:dyDescent="0.25">
      <c r="A2810" s="4">
        <v>2805</v>
      </c>
      <c r="B2810" s="3" t="str">
        <f>"00262711"</f>
        <v>00262711</v>
      </c>
    </row>
    <row r="2811" spans="1:2" x14ac:dyDescent="0.25">
      <c r="A2811" s="4">
        <v>2806</v>
      </c>
      <c r="B2811" s="3" t="str">
        <f>"00262759"</f>
        <v>00262759</v>
      </c>
    </row>
    <row r="2812" spans="1:2" x14ac:dyDescent="0.25">
      <c r="A2812" s="4">
        <v>2807</v>
      </c>
      <c r="B2812" s="3" t="str">
        <f>"00262903"</f>
        <v>00262903</v>
      </c>
    </row>
    <row r="2813" spans="1:2" x14ac:dyDescent="0.25">
      <c r="A2813" s="4">
        <v>2808</v>
      </c>
      <c r="B2813" s="3" t="str">
        <f>"00263030"</f>
        <v>00263030</v>
      </c>
    </row>
    <row r="2814" spans="1:2" x14ac:dyDescent="0.25">
      <c r="A2814" s="4">
        <v>2809</v>
      </c>
      <c r="B2814" s="3" t="str">
        <f>"00263049"</f>
        <v>00263049</v>
      </c>
    </row>
    <row r="2815" spans="1:2" x14ac:dyDescent="0.25">
      <c r="A2815" s="4">
        <v>2810</v>
      </c>
      <c r="B2815" s="3" t="str">
        <f>"00263099"</f>
        <v>00263099</v>
      </c>
    </row>
    <row r="2816" spans="1:2" x14ac:dyDescent="0.25">
      <c r="A2816" s="4">
        <v>2811</v>
      </c>
      <c r="B2816" s="3" t="str">
        <f>"00263101"</f>
        <v>00263101</v>
      </c>
    </row>
    <row r="2817" spans="1:2" x14ac:dyDescent="0.25">
      <c r="A2817" s="4">
        <v>2812</v>
      </c>
      <c r="B2817" s="3" t="str">
        <f>"00263218"</f>
        <v>00263218</v>
      </c>
    </row>
    <row r="2818" spans="1:2" x14ac:dyDescent="0.25">
      <c r="A2818" s="4">
        <v>2813</v>
      </c>
      <c r="B2818" s="3" t="str">
        <f>"00263219"</f>
        <v>00263219</v>
      </c>
    </row>
    <row r="2819" spans="1:2" x14ac:dyDescent="0.25">
      <c r="A2819" s="4">
        <v>2814</v>
      </c>
      <c r="B2819" s="3" t="str">
        <f>"00263241"</f>
        <v>00263241</v>
      </c>
    </row>
    <row r="2820" spans="1:2" x14ac:dyDescent="0.25">
      <c r="A2820" s="4">
        <v>2815</v>
      </c>
      <c r="B2820" s="3" t="str">
        <f>"00263246"</f>
        <v>00263246</v>
      </c>
    </row>
    <row r="2821" spans="1:2" x14ac:dyDescent="0.25">
      <c r="A2821" s="4">
        <v>2816</v>
      </c>
      <c r="B2821" s="3" t="str">
        <f>"00263252"</f>
        <v>00263252</v>
      </c>
    </row>
    <row r="2822" spans="1:2" x14ac:dyDescent="0.25">
      <c r="A2822" s="4">
        <v>2817</v>
      </c>
      <c r="B2822" s="3" t="str">
        <f>"00263260"</f>
        <v>00263260</v>
      </c>
    </row>
    <row r="2823" spans="1:2" x14ac:dyDescent="0.25">
      <c r="A2823" s="4">
        <v>2818</v>
      </c>
      <c r="B2823" s="3" t="str">
        <f>"00263363"</f>
        <v>00263363</v>
      </c>
    </row>
    <row r="2824" spans="1:2" x14ac:dyDescent="0.25">
      <c r="A2824" s="4">
        <v>2819</v>
      </c>
      <c r="B2824" s="3" t="str">
        <f>"00263413"</f>
        <v>00263413</v>
      </c>
    </row>
    <row r="2825" spans="1:2" x14ac:dyDescent="0.25">
      <c r="A2825" s="4">
        <v>2820</v>
      </c>
      <c r="B2825" s="3" t="str">
        <f>"00263432"</f>
        <v>00263432</v>
      </c>
    </row>
    <row r="2826" spans="1:2" x14ac:dyDescent="0.25">
      <c r="A2826" s="4">
        <v>2821</v>
      </c>
      <c r="B2826" s="3" t="str">
        <f>"00263437"</f>
        <v>00263437</v>
      </c>
    </row>
    <row r="2827" spans="1:2" x14ac:dyDescent="0.25">
      <c r="A2827" s="4">
        <v>2822</v>
      </c>
      <c r="B2827" s="3" t="str">
        <f>"00263462"</f>
        <v>00263462</v>
      </c>
    </row>
    <row r="2828" spans="1:2" x14ac:dyDescent="0.25">
      <c r="A2828" s="4">
        <v>2823</v>
      </c>
      <c r="B2828" s="3" t="str">
        <f>"00263481"</f>
        <v>00263481</v>
      </c>
    </row>
    <row r="2829" spans="1:2" x14ac:dyDescent="0.25">
      <c r="A2829" s="4">
        <v>2824</v>
      </c>
      <c r="B2829" s="3" t="str">
        <f>"00263515"</f>
        <v>00263515</v>
      </c>
    </row>
    <row r="2830" spans="1:2" x14ac:dyDescent="0.25">
      <c r="A2830" s="4">
        <v>2825</v>
      </c>
      <c r="B2830" s="3" t="str">
        <f>"00263559"</f>
        <v>00263559</v>
      </c>
    </row>
    <row r="2831" spans="1:2" x14ac:dyDescent="0.25">
      <c r="A2831" s="4">
        <v>2826</v>
      </c>
      <c r="B2831" s="3" t="str">
        <f>"00263730"</f>
        <v>00263730</v>
      </c>
    </row>
    <row r="2832" spans="1:2" x14ac:dyDescent="0.25">
      <c r="A2832" s="4">
        <v>2827</v>
      </c>
      <c r="B2832" s="3" t="str">
        <f>"00263751"</f>
        <v>00263751</v>
      </c>
    </row>
    <row r="2833" spans="1:2" x14ac:dyDescent="0.25">
      <c r="A2833" s="4">
        <v>2828</v>
      </c>
      <c r="B2833" s="3" t="str">
        <f>"00263944"</f>
        <v>00263944</v>
      </c>
    </row>
    <row r="2834" spans="1:2" x14ac:dyDescent="0.25">
      <c r="A2834" s="4">
        <v>2829</v>
      </c>
      <c r="B2834" s="3" t="str">
        <f>"00263967"</f>
        <v>00263967</v>
      </c>
    </row>
    <row r="2835" spans="1:2" x14ac:dyDescent="0.25">
      <c r="A2835" s="4">
        <v>2830</v>
      </c>
      <c r="B2835" s="3" t="str">
        <f>"00264283"</f>
        <v>00264283</v>
      </c>
    </row>
    <row r="2836" spans="1:2" x14ac:dyDescent="0.25">
      <c r="A2836" s="4">
        <v>2831</v>
      </c>
      <c r="B2836" s="3" t="str">
        <f>"00264361"</f>
        <v>00264361</v>
      </c>
    </row>
    <row r="2837" spans="1:2" x14ac:dyDescent="0.25">
      <c r="A2837" s="4">
        <v>2832</v>
      </c>
      <c r="B2837" s="3" t="str">
        <f>"00264852"</f>
        <v>00264852</v>
      </c>
    </row>
    <row r="2838" spans="1:2" x14ac:dyDescent="0.25">
      <c r="A2838" s="4">
        <v>2833</v>
      </c>
      <c r="B2838" s="3" t="str">
        <f>"00264880"</f>
        <v>00264880</v>
      </c>
    </row>
    <row r="2839" spans="1:2" x14ac:dyDescent="0.25">
      <c r="A2839" s="4">
        <v>2834</v>
      </c>
      <c r="B2839" s="3" t="str">
        <f>"00265086"</f>
        <v>00265086</v>
      </c>
    </row>
    <row r="2840" spans="1:2" x14ac:dyDescent="0.25">
      <c r="A2840" s="4">
        <v>2835</v>
      </c>
      <c r="B2840" s="3" t="str">
        <f>"00265194"</f>
        <v>00265194</v>
      </c>
    </row>
    <row r="2841" spans="1:2" x14ac:dyDescent="0.25">
      <c r="A2841" s="4">
        <v>2836</v>
      </c>
      <c r="B2841" s="3" t="str">
        <f>"00265261"</f>
        <v>00265261</v>
      </c>
    </row>
    <row r="2842" spans="1:2" x14ac:dyDescent="0.25">
      <c r="A2842" s="4">
        <v>2837</v>
      </c>
      <c r="B2842" s="3" t="str">
        <f>"00265345"</f>
        <v>00265345</v>
      </c>
    </row>
    <row r="2843" spans="1:2" x14ac:dyDescent="0.25">
      <c r="A2843" s="4">
        <v>2838</v>
      </c>
      <c r="B2843" s="3" t="str">
        <f>"00265347"</f>
        <v>00265347</v>
      </c>
    </row>
    <row r="2844" spans="1:2" x14ac:dyDescent="0.25">
      <c r="A2844" s="4">
        <v>2839</v>
      </c>
      <c r="B2844" s="3" t="str">
        <f>"00265512"</f>
        <v>00265512</v>
      </c>
    </row>
    <row r="2845" spans="1:2" x14ac:dyDescent="0.25">
      <c r="A2845" s="4">
        <v>2840</v>
      </c>
      <c r="B2845" s="3" t="str">
        <f>"00265617"</f>
        <v>00265617</v>
      </c>
    </row>
    <row r="2846" spans="1:2" x14ac:dyDescent="0.25">
      <c r="A2846" s="4">
        <v>2841</v>
      </c>
      <c r="B2846" s="3" t="str">
        <f>"00265651"</f>
        <v>00265651</v>
      </c>
    </row>
    <row r="2847" spans="1:2" x14ac:dyDescent="0.25">
      <c r="A2847" s="4">
        <v>2842</v>
      </c>
      <c r="B2847" s="3" t="str">
        <f>"00265728"</f>
        <v>00265728</v>
      </c>
    </row>
    <row r="2848" spans="1:2" x14ac:dyDescent="0.25">
      <c r="A2848" s="4">
        <v>2843</v>
      </c>
      <c r="B2848" s="3" t="str">
        <f>"00265736"</f>
        <v>00265736</v>
      </c>
    </row>
    <row r="2849" spans="1:2" x14ac:dyDescent="0.25">
      <c r="A2849" s="4">
        <v>2844</v>
      </c>
      <c r="B2849" s="3" t="str">
        <f>"00265946"</f>
        <v>00265946</v>
      </c>
    </row>
    <row r="2850" spans="1:2" x14ac:dyDescent="0.25">
      <c r="A2850" s="4">
        <v>2845</v>
      </c>
      <c r="B2850" s="3" t="str">
        <f>"00265978"</f>
        <v>00265978</v>
      </c>
    </row>
    <row r="2851" spans="1:2" x14ac:dyDescent="0.25">
      <c r="A2851" s="4">
        <v>2846</v>
      </c>
      <c r="B2851" s="3" t="str">
        <f>"00266012"</f>
        <v>00266012</v>
      </c>
    </row>
    <row r="2852" spans="1:2" x14ac:dyDescent="0.25">
      <c r="A2852" s="4">
        <v>2847</v>
      </c>
      <c r="B2852" s="3" t="str">
        <f>"00266090"</f>
        <v>00266090</v>
      </c>
    </row>
    <row r="2853" spans="1:2" x14ac:dyDescent="0.25">
      <c r="A2853" s="4">
        <v>2848</v>
      </c>
      <c r="B2853" s="3" t="str">
        <f>"00266292"</f>
        <v>00266292</v>
      </c>
    </row>
    <row r="2854" spans="1:2" x14ac:dyDescent="0.25">
      <c r="A2854" s="4">
        <v>2849</v>
      </c>
      <c r="B2854" s="3" t="str">
        <f>"00266388"</f>
        <v>00266388</v>
      </c>
    </row>
    <row r="2855" spans="1:2" x14ac:dyDescent="0.25">
      <c r="A2855" s="4">
        <v>2850</v>
      </c>
      <c r="B2855" s="3" t="str">
        <f>"00266447"</f>
        <v>00266447</v>
      </c>
    </row>
    <row r="2856" spans="1:2" x14ac:dyDescent="0.25">
      <c r="A2856" s="4">
        <v>2851</v>
      </c>
      <c r="B2856" s="3" t="str">
        <f>"00266522"</f>
        <v>00266522</v>
      </c>
    </row>
    <row r="2857" spans="1:2" x14ac:dyDescent="0.25">
      <c r="A2857" s="4">
        <v>2852</v>
      </c>
      <c r="B2857" s="3" t="str">
        <f>"00266532"</f>
        <v>00266532</v>
      </c>
    </row>
    <row r="2858" spans="1:2" x14ac:dyDescent="0.25">
      <c r="A2858" s="4">
        <v>2853</v>
      </c>
      <c r="B2858" s="3" t="str">
        <f>"00266689"</f>
        <v>00266689</v>
      </c>
    </row>
    <row r="2859" spans="1:2" x14ac:dyDescent="0.25">
      <c r="A2859" s="4">
        <v>2854</v>
      </c>
      <c r="B2859" s="3" t="str">
        <f>"00266747"</f>
        <v>00266747</v>
      </c>
    </row>
    <row r="2860" spans="1:2" x14ac:dyDescent="0.25">
      <c r="A2860" s="4">
        <v>2855</v>
      </c>
      <c r="B2860" s="3" t="str">
        <f>"00266773"</f>
        <v>00266773</v>
      </c>
    </row>
    <row r="2861" spans="1:2" x14ac:dyDescent="0.25">
      <c r="A2861" s="4">
        <v>2856</v>
      </c>
      <c r="B2861" s="3" t="str">
        <f>"00266811"</f>
        <v>00266811</v>
      </c>
    </row>
    <row r="2862" spans="1:2" x14ac:dyDescent="0.25">
      <c r="A2862" s="4">
        <v>2857</v>
      </c>
      <c r="B2862" s="3" t="str">
        <f>"00267011"</f>
        <v>00267011</v>
      </c>
    </row>
    <row r="2863" spans="1:2" x14ac:dyDescent="0.25">
      <c r="A2863" s="4">
        <v>2858</v>
      </c>
      <c r="B2863" s="3" t="str">
        <f>"00267150"</f>
        <v>00267150</v>
      </c>
    </row>
    <row r="2864" spans="1:2" x14ac:dyDescent="0.25">
      <c r="A2864" s="4">
        <v>2859</v>
      </c>
      <c r="B2864" s="3" t="str">
        <f>"00267177"</f>
        <v>00267177</v>
      </c>
    </row>
    <row r="2865" spans="1:2" x14ac:dyDescent="0.25">
      <c r="A2865" s="4">
        <v>2860</v>
      </c>
      <c r="B2865" s="3" t="str">
        <f>"00267207"</f>
        <v>00267207</v>
      </c>
    </row>
    <row r="2866" spans="1:2" x14ac:dyDescent="0.25">
      <c r="A2866" s="4">
        <v>2861</v>
      </c>
      <c r="B2866" s="3" t="str">
        <f>"00267290"</f>
        <v>00267290</v>
      </c>
    </row>
    <row r="2867" spans="1:2" x14ac:dyDescent="0.25">
      <c r="A2867" s="4">
        <v>2862</v>
      </c>
      <c r="B2867" s="3" t="str">
        <f>"00267680"</f>
        <v>00267680</v>
      </c>
    </row>
    <row r="2868" spans="1:2" x14ac:dyDescent="0.25">
      <c r="A2868" s="4">
        <v>2863</v>
      </c>
      <c r="B2868" s="3" t="str">
        <f>"00267740"</f>
        <v>00267740</v>
      </c>
    </row>
    <row r="2869" spans="1:2" x14ac:dyDescent="0.25">
      <c r="A2869" s="4">
        <v>2864</v>
      </c>
      <c r="B2869" s="3" t="str">
        <f>"00267806"</f>
        <v>00267806</v>
      </c>
    </row>
    <row r="2870" spans="1:2" x14ac:dyDescent="0.25">
      <c r="A2870" s="4">
        <v>2865</v>
      </c>
      <c r="B2870" s="3" t="str">
        <f>"00267842"</f>
        <v>00267842</v>
      </c>
    </row>
    <row r="2871" spans="1:2" x14ac:dyDescent="0.25">
      <c r="A2871" s="4">
        <v>2866</v>
      </c>
      <c r="B2871" s="3" t="str">
        <f>"00267995"</f>
        <v>00267995</v>
      </c>
    </row>
    <row r="2872" spans="1:2" x14ac:dyDescent="0.25">
      <c r="A2872" s="4">
        <v>2867</v>
      </c>
      <c r="B2872" s="3" t="str">
        <f>"00268282"</f>
        <v>00268282</v>
      </c>
    </row>
    <row r="2873" spans="1:2" x14ac:dyDescent="0.25">
      <c r="A2873" s="4">
        <v>2868</v>
      </c>
      <c r="B2873" s="3" t="str">
        <f>"00268449"</f>
        <v>00268449</v>
      </c>
    </row>
    <row r="2874" spans="1:2" x14ac:dyDescent="0.25">
      <c r="A2874" s="4">
        <v>2869</v>
      </c>
      <c r="B2874" s="3" t="str">
        <f>"00268590"</f>
        <v>00268590</v>
      </c>
    </row>
    <row r="2875" spans="1:2" x14ac:dyDescent="0.25">
      <c r="A2875" s="4">
        <v>2870</v>
      </c>
      <c r="B2875" s="3" t="str">
        <f>"00268670"</f>
        <v>00268670</v>
      </c>
    </row>
    <row r="2876" spans="1:2" x14ac:dyDescent="0.25">
      <c r="A2876" s="4">
        <v>2871</v>
      </c>
      <c r="B2876" s="3" t="str">
        <f>"00268739"</f>
        <v>00268739</v>
      </c>
    </row>
    <row r="2877" spans="1:2" x14ac:dyDescent="0.25">
      <c r="A2877" s="4">
        <v>2872</v>
      </c>
      <c r="B2877" s="3" t="str">
        <f>"00268766"</f>
        <v>00268766</v>
      </c>
    </row>
    <row r="2878" spans="1:2" x14ac:dyDescent="0.25">
      <c r="A2878" s="4">
        <v>2873</v>
      </c>
      <c r="B2878" s="3" t="str">
        <f>"00268811"</f>
        <v>00268811</v>
      </c>
    </row>
    <row r="2879" spans="1:2" x14ac:dyDescent="0.25">
      <c r="A2879" s="4">
        <v>2874</v>
      </c>
      <c r="B2879" s="3" t="str">
        <f>"00268826"</f>
        <v>00268826</v>
      </c>
    </row>
    <row r="2880" spans="1:2" x14ac:dyDescent="0.25">
      <c r="A2880" s="4">
        <v>2875</v>
      </c>
      <c r="B2880" s="3" t="str">
        <f>"00268871"</f>
        <v>00268871</v>
      </c>
    </row>
    <row r="2881" spans="1:2" x14ac:dyDescent="0.25">
      <c r="A2881" s="4">
        <v>2876</v>
      </c>
      <c r="B2881" s="3" t="str">
        <f>"00268898"</f>
        <v>00268898</v>
      </c>
    </row>
    <row r="2882" spans="1:2" x14ac:dyDescent="0.25">
      <c r="A2882" s="4">
        <v>2877</v>
      </c>
      <c r="B2882" s="3" t="str">
        <f>"00268975"</f>
        <v>00268975</v>
      </c>
    </row>
    <row r="2883" spans="1:2" x14ac:dyDescent="0.25">
      <c r="A2883" s="4">
        <v>2878</v>
      </c>
      <c r="B2883" s="3" t="str">
        <f>"00269099"</f>
        <v>00269099</v>
      </c>
    </row>
    <row r="2884" spans="1:2" x14ac:dyDescent="0.25">
      <c r="A2884" s="4">
        <v>2879</v>
      </c>
      <c r="B2884" s="3" t="str">
        <f>"00269220"</f>
        <v>00269220</v>
      </c>
    </row>
    <row r="2885" spans="1:2" x14ac:dyDescent="0.25">
      <c r="A2885" s="4">
        <v>2880</v>
      </c>
      <c r="B2885" s="3" t="str">
        <f>"00269298"</f>
        <v>00269298</v>
      </c>
    </row>
    <row r="2886" spans="1:2" x14ac:dyDescent="0.25">
      <c r="A2886" s="4">
        <v>2881</v>
      </c>
      <c r="B2886" s="3" t="str">
        <f>"00269314"</f>
        <v>00269314</v>
      </c>
    </row>
    <row r="2887" spans="1:2" x14ac:dyDescent="0.25">
      <c r="A2887" s="4">
        <v>2882</v>
      </c>
      <c r="B2887" s="3" t="str">
        <f>"00269371"</f>
        <v>00269371</v>
      </c>
    </row>
    <row r="2888" spans="1:2" x14ac:dyDescent="0.25">
      <c r="A2888" s="4">
        <v>2883</v>
      </c>
      <c r="B2888" s="3" t="str">
        <f>"00269527"</f>
        <v>00269527</v>
      </c>
    </row>
    <row r="2889" spans="1:2" x14ac:dyDescent="0.25">
      <c r="A2889" s="4">
        <v>2884</v>
      </c>
      <c r="B2889" s="3" t="str">
        <f>"00269547"</f>
        <v>00269547</v>
      </c>
    </row>
    <row r="2890" spans="1:2" x14ac:dyDescent="0.25">
      <c r="A2890" s="4">
        <v>2885</v>
      </c>
      <c r="B2890" s="3" t="str">
        <f>"00269719"</f>
        <v>00269719</v>
      </c>
    </row>
    <row r="2891" spans="1:2" x14ac:dyDescent="0.25">
      <c r="A2891" s="4">
        <v>2886</v>
      </c>
      <c r="B2891" s="3" t="str">
        <f>"00269897"</f>
        <v>00269897</v>
      </c>
    </row>
    <row r="2892" spans="1:2" x14ac:dyDescent="0.25">
      <c r="A2892" s="4">
        <v>2887</v>
      </c>
      <c r="B2892" s="3" t="str">
        <f>"00269978"</f>
        <v>00269978</v>
      </c>
    </row>
    <row r="2893" spans="1:2" x14ac:dyDescent="0.25">
      <c r="A2893" s="4">
        <v>2888</v>
      </c>
      <c r="B2893" s="3" t="str">
        <f>"00269984"</f>
        <v>00269984</v>
      </c>
    </row>
    <row r="2894" spans="1:2" x14ac:dyDescent="0.25">
      <c r="A2894" s="4">
        <v>2889</v>
      </c>
      <c r="B2894" s="3" t="str">
        <f>"00270253"</f>
        <v>00270253</v>
      </c>
    </row>
    <row r="2895" spans="1:2" x14ac:dyDescent="0.25">
      <c r="A2895" s="4">
        <v>2890</v>
      </c>
      <c r="B2895" s="3" t="str">
        <f>"00270288"</f>
        <v>00270288</v>
      </c>
    </row>
    <row r="2896" spans="1:2" x14ac:dyDescent="0.25">
      <c r="A2896" s="4">
        <v>2891</v>
      </c>
      <c r="B2896" s="3" t="str">
        <f>"00270291"</f>
        <v>00270291</v>
      </c>
    </row>
    <row r="2897" spans="1:2" x14ac:dyDescent="0.25">
      <c r="A2897" s="4">
        <v>2892</v>
      </c>
      <c r="B2897" s="3" t="str">
        <f>"00270327"</f>
        <v>00270327</v>
      </c>
    </row>
    <row r="2898" spans="1:2" x14ac:dyDescent="0.25">
      <c r="A2898" s="4">
        <v>2893</v>
      </c>
      <c r="B2898" s="3" t="str">
        <f>"00270466"</f>
        <v>00270466</v>
      </c>
    </row>
    <row r="2899" spans="1:2" x14ac:dyDescent="0.25">
      <c r="A2899" s="4">
        <v>2894</v>
      </c>
      <c r="B2899" s="3" t="str">
        <f>"00270511"</f>
        <v>00270511</v>
      </c>
    </row>
    <row r="2900" spans="1:2" x14ac:dyDescent="0.25">
      <c r="A2900" s="4">
        <v>2895</v>
      </c>
      <c r="B2900" s="3" t="str">
        <f>"00270562"</f>
        <v>00270562</v>
      </c>
    </row>
    <row r="2901" spans="1:2" x14ac:dyDescent="0.25">
      <c r="A2901" s="4">
        <v>2896</v>
      </c>
      <c r="B2901" s="3" t="str">
        <f>"00270605"</f>
        <v>00270605</v>
      </c>
    </row>
    <row r="2902" spans="1:2" x14ac:dyDescent="0.25">
      <c r="A2902" s="4">
        <v>2897</v>
      </c>
      <c r="B2902" s="3" t="str">
        <f>"00270606"</f>
        <v>00270606</v>
      </c>
    </row>
    <row r="2903" spans="1:2" x14ac:dyDescent="0.25">
      <c r="A2903" s="4">
        <v>2898</v>
      </c>
      <c r="B2903" s="3" t="str">
        <f>"00270789"</f>
        <v>00270789</v>
      </c>
    </row>
    <row r="2904" spans="1:2" x14ac:dyDescent="0.25">
      <c r="A2904" s="4">
        <v>2899</v>
      </c>
      <c r="B2904" s="3" t="str">
        <f>"00270810"</f>
        <v>00270810</v>
      </c>
    </row>
    <row r="2905" spans="1:2" x14ac:dyDescent="0.25">
      <c r="A2905" s="4">
        <v>2900</v>
      </c>
      <c r="B2905" s="3" t="str">
        <f>"00271190"</f>
        <v>00271190</v>
      </c>
    </row>
    <row r="2906" spans="1:2" x14ac:dyDescent="0.25">
      <c r="A2906" s="4">
        <v>2901</v>
      </c>
      <c r="B2906" s="3" t="str">
        <f>"00271292"</f>
        <v>00271292</v>
      </c>
    </row>
    <row r="2907" spans="1:2" x14ac:dyDescent="0.25">
      <c r="A2907" s="4">
        <v>2902</v>
      </c>
      <c r="B2907" s="3" t="str">
        <f>"00271442"</f>
        <v>00271442</v>
      </c>
    </row>
    <row r="2908" spans="1:2" x14ac:dyDescent="0.25">
      <c r="A2908" s="4">
        <v>2903</v>
      </c>
      <c r="B2908" s="3" t="str">
        <f>"00271477"</f>
        <v>00271477</v>
      </c>
    </row>
    <row r="2909" spans="1:2" x14ac:dyDescent="0.25">
      <c r="A2909" s="4">
        <v>2904</v>
      </c>
      <c r="B2909" s="3" t="str">
        <f>"00271795"</f>
        <v>00271795</v>
      </c>
    </row>
    <row r="2910" spans="1:2" x14ac:dyDescent="0.25">
      <c r="A2910" s="4">
        <v>2905</v>
      </c>
      <c r="B2910" s="3" t="str">
        <f>"00271885"</f>
        <v>00271885</v>
      </c>
    </row>
    <row r="2911" spans="1:2" x14ac:dyDescent="0.25">
      <c r="A2911" s="4">
        <v>2906</v>
      </c>
      <c r="B2911" s="3" t="str">
        <f>"00271957"</f>
        <v>00271957</v>
      </c>
    </row>
    <row r="2912" spans="1:2" x14ac:dyDescent="0.25">
      <c r="A2912" s="4">
        <v>2907</v>
      </c>
      <c r="B2912" s="3" t="str">
        <f>"00272274"</f>
        <v>00272274</v>
      </c>
    </row>
    <row r="2913" spans="1:2" x14ac:dyDescent="0.25">
      <c r="A2913" s="4">
        <v>2908</v>
      </c>
      <c r="B2913" s="3" t="str">
        <f>"00272356"</f>
        <v>00272356</v>
      </c>
    </row>
    <row r="2914" spans="1:2" x14ac:dyDescent="0.25">
      <c r="A2914" s="4">
        <v>2909</v>
      </c>
      <c r="B2914" s="3" t="str">
        <f>"00272565"</f>
        <v>00272565</v>
      </c>
    </row>
    <row r="2915" spans="1:2" x14ac:dyDescent="0.25">
      <c r="A2915" s="4">
        <v>2910</v>
      </c>
      <c r="B2915" s="3" t="str">
        <f>"00272669"</f>
        <v>00272669</v>
      </c>
    </row>
    <row r="2916" spans="1:2" x14ac:dyDescent="0.25">
      <c r="A2916" s="4">
        <v>2911</v>
      </c>
      <c r="B2916" s="3" t="str">
        <f>"00272672"</f>
        <v>00272672</v>
      </c>
    </row>
    <row r="2917" spans="1:2" x14ac:dyDescent="0.25">
      <c r="A2917" s="4">
        <v>2912</v>
      </c>
      <c r="B2917" s="3" t="str">
        <f>"00272675"</f>
        <v>00272675</v>
      </c>
    </row>
    <row r="2918" spans="1:2" x14ac:dyDescent="0.25">
      <c r="A2918" s="4">
        <v>2913</v>
      </c>
      <c r="B2918" s="3" t="str">
        <f>"00272767"</f>
        <v>00272767</v>
      </c>
    </row>
    <row r="2919" spans="1:2" x14ac:dyDescent="0.25">
      <c r="A2919" s="4">
        <v>2914</v>
      </c>
      <c r="B2919" s="3" t="str">
        <f>"00272801"</f>
        <v>00272801</v>
      </c>
    </row>
    <row r="2920" spans="1:2" x14ac:dyDescent="0.25">
      <c r="A2920" s="4">
        <v>2915</v>
      </c>
      <c r="B2920" s="3" t="str">
        <f>"00272804"</f>
        <v>00272804</v>
      </c>
    </row>
    <row r="2921" spans="1:2" x14ac:dyDescent="0.25">
      <c r="A2921" s="4">
        <v>2916</v>
      </c>
      <c r="B2921" s="3" t="str">
        <f>"00272994"</f>
        <v>00272994</v>
      </c>
    </row>
    <row r="2922" spans="1:2" x14ac:dyDescent="0.25">
      <c r="A2922" s="4">
        <v>2917</v>
      </c>
      <c r="B2922" s="3" t="str">
        <f>"00273258"</f>
        <v>00273258</v>
      </c>
    </row>
    <row r="2923" spans="1:2" x14ac:dyDescent="0.25">
      <c r="A2923" s="4">
        <v>2918</v>
      </c>
      <c r="B2923" s="3" t="str">
        <f>"00273262"</f>
        <v>00273262</v>
      </c>
    </row>
    <row r="2924" spans="1:2" x14ac:dyDescent="0.25">
      <c r="A2924" s="4">
        <v>2919</v>
      </c>
      <c r="B2924" s="3" t="str">
        <f>"00273264"</f>
        <v>00273264</v>
      </c>
    </row>
    <row r="2925" spans="1:2" x14ac:dyDescent="0.25">
      <c r="A2925" s="4">
        <v>2920</v>
      </c>
      <c r="B2925" s="3" t="str">
        <f>"00273374"</f>
        <v>00273374</v>
      </c>
    </row>
    <row r="2926" spans="1:2" x14ac:dyDescent="0.25">
      <c r="A2926" s="4">
        <v>2921</v>
      </c>
      <c r="B2926" s="3" t="str">
        <f>"00273587"</f>
        <v>00273587</v>
      </c>
    </row>
    <row r="2927" spans="1:2" x14ac:dyDescent="0.25">
      <c r="A2927" s="4">
        <v>2922</v>
      </c>
      <c r="B2927" s="3" t="str">
        <f>"00273708"</f>
        <v>00273708</v>
      </c>
    </row>
    <row r="2928" spans="1:2" x14ac:dyDescent="0.25">
      <c r="A2928" s="4">
        <v>2923</v>
      </c>
      <c r="B2928" s="3" t="str">
        <f>"00273814"</f>
        <v>00273814</v>
      </c>
    </row>
    <row r="2929" spans="1:2" x14ac:dyDescent="0.25">
      <c r="A2929" s="4">
        <v>2924</v>
      </c>
      <c r="B2929" s="3" t="str">
        <f>"00273857"</f>
        <v>00273857</v>
      </c>
    </row>
    <row r="2930" spans="1:2" x14ac:dyDescent="0.25">
      <c r="A2930" s="4">
        <v>2925</v>
      </c>
      <c r="B2930" s="3" t="str">
        <f>"00273905"</f>
        <v>00273905</v>
      </c>
    </row>
    <row r="2931" spans="1:2" x14ac:dyDescent="0.25">
      <c r="A2931" s="4">
        <v>2926</v>
      </c>
      <c r="B2931" s="3" t="str">
        <f>"00274000"</f>
        <v>00274000</v>
      </c>
    </row>
    <row r="2932" spans="1:2" x14ac:dyDescent="0.25">
      <c r="A2932" s="4">
        <v>2927</v>
      </c>
      <c r="B2932" s="3" t="str">
        <f>"00274054"</f>
        <v>00274054</v>
      </c>
    </row>
    <row r="2933" spans="1:2" x14ac:dyDescent="0.25">
      <c r="A2933" s="4">
        <v>2928</v>
      </c>
      <c r="B2933" s="3" t="str">
        <f>"00274078"</f>
        <v>00274078</v>
      </c>
    </row>
    <row r="2934" spans="1:2" x14ac:dyDescent="0.25">
      <c r="A2934" s="4">
        <v>2929</v>
      </c>
      <c r="B2934" s="3" t="str">
        <f>"00274203"</f>
        <v>00274203</v>
      </c>
    </row>
    <row r="2935" spans="1:2" x14ac:dyDescent="0.25">
      <c r="A2935" s="4">
        <v>2930</v>
      </c>
      <c r="B2935" s="3" t="str">
        <f>"00274497"</f>
        <v>00274497</v>
      </c>
    </row>
    <row r="2936" spans="1:2" x14ac:dyDescent="0.25">
      <c r="A2936" s="4">
        <v>2931</v>
      </c>
      <c r="B2936" s="3" t="str">
        <f>"00274595"</f>
        <v>00274595</v>
      </c>
    </row>
    <row r="2937" spans="1:2" x14ac:dyDescent="0.25">
      <c r="A2937" s="4">
        <v>2932</v>
      </c>
      <c r="B2937" s="3" t="str">
        <f>"00274641"</f>
        <v>00274641</v>
      </c>
    </row>
    <row r="2938" spans="1:2" x14ac:dyDescent="0.25">
      <c r="A2938" s="4">
        <v>2933</v>
      </c>
      <c r="B2938" s="3" t="str">
        <f>"00274648"</f>
        <v>00274648</v>
      </c>
    </row>
    <row r="2939" spans="1:2" x14ac:dyDescent="0.25">
      <c r="A2939" s="4">
        <v>2934</v>
      </c>
      <c r="B2939" s="3" t="str">
        <f>"00274804"</f>
        <v>00274804</v>
      </c>
    </row>
    <row r="2940" spans="1:2" x14ac:dyDescent="0.25">
      <c r="A2940" s="4">
        <v>2935</v>
      </c>
      <c r="B2940" s="3" t="str">
        <f>"00274937"</f>
        <v>00274937</v>
      </c>
    </row>
    <row r="2941" spans="1:2" x14ac:dyDescent="0.25">
      <c r="A2941" s="4">
        <v>2936</v>
      </c>
      <c r="B2941" s="3" t="str">
        <f>"00274942"</f>
        <v>00274942</v>
      </c>
    </row>
    <row r="2942" spans="1:2" x14ac:dyDescent="0.25">
      <c r="A2942" s="4">
        <v>2937</v>
      </c>
      <c r="B2942" s="3" t="str">
        <f>"00274966"</f>
        <v>00274966</v>
      </c>
    </row>
    <row r="2943" spans="1:2" x14ac:dyDescent="0.25">
      <c r="A2943" s="4">
        <v>2938</v>
      </c>
      <c r="B2943" s="3" t="str">
        <f>"00275073"</f>
        <v>00275073</v>
      </c>
    </row>
    <row r="2944" spans="1:2" x14ac:dyDescent="0.25">
      <c r="A2944" s="4">
        <v>2939</v>
      </c>
      <c r="B2944" s="3" t="str">
        <f>"00275076"</f>
        <v>00275076</v>
      </c>
    </row>
    <row r="2945" spans="1:2" x14ac:dyDescent="0.25">
      <c r="A2945" s="4">
        <v>2940</v>
      </c>
      <c r="B2945" s="3" t="str">
        <f>"00275150"</f>
        <v>00275150</v>
      </c>
    </row>
    <row r="2946" spans="1:2" x14ac:dyDescent="0.25">
      <c r="A2946" s="4">
        <v>2941</v>
      </c>
      <c r="B2946" s="3" t="str">
        <f>"00275175"</f>
        <v>00275175</v>
      </c>
    </row>
    <row r="2947" spans="1:2" x14ac:dyDescent="0.25">
      <c r="A2947" s="4">
        <v>2942</v>
      </c>
      <c r="B2947" s="3" t="str">
        <f>"00275235"</f>
        <v>00275235</v>
      </c>
    </row>
    <row r="2948" spans="1:2" x14ac:dyDescent="0.25">
      <c r="A2948" s="4">
        <v>2943</v>
      </c>
      <c r="B2948" s="3" t="str">
        <f>"00275316"</f>
        <v>00275316</v>
      </c>
    </row>
    <row r="2949" spans="1:2" x14ac:dyDescent="0.25">
      <c r="A2949" s="4">
        <v>2944</v>
      </c>
      <c r="B2949" s="3" t="str">
        <f>"00275334"</f>
        <v>00275334</v>
      </c>
    </row>
    <row r="2950" spans="1:2" x14ac:dyDescent="0.25">
      <c r="A2950" s="4">
        <v>2945</v>
      </c>
      <c r="B2950" s="3" t="str">
        <f>"00275444"</f>
        <v>00275444</v>
      </c>
    </row>
    <row r="2951" spans="1:2" x14ac:dyDescent="0.25">
      <c r="A2951" s="4">
        <v>2946</v>
      </c>
      <c r="B2951" s="3" t="str">
        <f>"00275448"</f>
        <v>00275448</v>
      </c>
    </row>
    <row r="2952" spans="1:2" x14ac:dyDescent="0.25">
      <c r="A2952" s="4">
        <v>2947</v>
      </c>
      <c r="B2952" s="3" t="str">
        <f>"00275458"</f>
        <v>00275458</v>
      </c>
    </row>
    <row r="2953" spans="1:2" x14ac:dyDescent="0.25">
      <c r="A2953" s="4">
        <v>2948</v>
      </c>
      <c r="B2953" s="3" t="str">
        <f>"00275480"</f>
        <v>00275480</v>
      </c>
    </row>
    <row r="2954" spans="1:2" x14ac:dyDescent="0.25">
      <c r="A2954" s="4">
        <v>2949</v>
      </c>
      <c r="B2954" s="3" t="str">
        <f>"00275652"</f>
        <v>00275652</v>
      </c>
    </row>
    <row r="2955" spans="1:2" x14ac:dyDescent="0.25">
      <c r="A2955" s="4">
        <v>2950</v>
      </c>
      <c r="B2955" s="3" t="str">
        <f>"00275742"</f>
        <v>00275742</v>
      </c>
    </row>
    <row r="2956" spans="1:2" x14ac:dyDescent="0.25">
      <c r="A2956" s="4">
        <v>2951</v>
      </c>
      <c r="B2956" s="3" t="str">
        <f>"00275780"</f>
        <v>00275780</v>
      </c>
    </row>
    <row r="2957" spans="1:2" x14ac:dyDescent="0.25">
      <c r="A2957" s="4">
        <v>2952</v>
      </c>
      <c r="B2957" s="3" t="str">
        <f>"00275839"</f>
        <v>00275839</v>
      </c>
    </row>
    <row r="2958" spans="1:2" x14ac:dyDescent="0.25">
      <c r="A2958" s="4">
        <v>2953</v>
      </c>
      <c r="B2958" s="3" t="str">
        <f>"00275864"</f>
        <v>00275864</v>
      </c>
    </row>
    <row r="2959" spans="1:2" x14ac:dyDescent="0.25">
      <c r="A2959" s="4">
        <v>2954</v>
      </c>
      <c r="B2959" s="3" t="str">
        <f>"00275973"</f>
        <v>00275973</v>
      </c>
    </row>
    <row r="2960" spans="1:2" x14ac:dyDescent="0.25">
      <c r="A2960" s="4">
        <v>2955</v>
      </c>
      <c r="B2960" s="3" t="str">
        <f>"00275993"</f>
        <v>00275993</v>
      </c>
    </row>
    <row r="2961" spans="1:2" x14ac:dyDescent="0.25">
      <c r="A2961" s="4">
        <v>2956</v>
      </c>
      <c r="B2961" s="3" t="str">
        <f>"00276147"</f>
        <v>00276147</v>
      </c>
    </row>
    <row r="2962" spans="1:2" x14ac:dyDescent="0.25">
      <c r="A2962" s="4">
        <v>2957</v>
      </c>
      <c r="B2962" s="3" t="str">
        <f>"00276319"</f>
        <v>00276319</v>
      </c>
    </row>
    <row r="2963" spans="1:2" x14ac:dyDescent="0.25">
      <c r="A2963" s="4">
        <v>2958</v>
      </c>
      <c r="B2963" s="3" t="str">
        <f>"00276399"</f>
        <v>00276399</v>
      </c>
    </row>
    <row r="2964" spans="1:2" x14ac:dyDescent="0.25">
      <c r="A2964" s="4">
        <v>2959</v>
      </c>
      <c r="B2964" s="3" t="str">
        <f>"00276425"</f>
        <v>00276425</v>
      </c>
    </row>
    <row r="2965" spans="1:2" x14ac:dyDescent="0.25">
      <c r="A2965" s="4">
        <v>2960</v>
      </c>
      <c r="B2965" s="3" t="str">
        <f>"00276426"</f>
        <v>00276426</v>
      </c>
    </row>
    <row r="2966" spans="1:2" x14ac:dyDescent="0.25">
      <c r="A2966" s="4">
        <v>2961</v>
      </c>
      <c r="B2966" s="3" t="str">
        <f>"00276526"</f>
        <v>00276526</v>
      </c>
    </row>
    <row r="2967" spans="1:2" x14ac:dyDescent="0.25">
      <c r="A2967" s="4">
        <v>2962</v>
      </c>
      <c r="B2967" s="3" t="str">
        <f>"00276664"</f>
        <v>00276664</v>
      </c>
    </row>
    <row r="2968" spans="1:2" x14ac:dyDescent="0.25">
      <c r="A2968" s="4">
        <v>2963</v>
      </c>
      <c r="B2968" s="3" t="str">
        <f>"00276701"</f>
        <v>00276701</v>
      </c>
    </row>
    <row r="2969" spans="1:2" x14ac:dyDescent="0.25">
      <c r="A2969" s="4">
        <v>2964</v>
      </c>
      <c r="B2969" s="3" t="str">
        <f>"00276813"</f>
        <v>00276813</v>
      </c>
    </row>
    <row r="2970" spans="1:2" x14ac:dyDescent="0.25">
      <c r="A2970" s="4">
        <v>2965</v>
      </c>
      <c r="B2970" s="3" t="str">
        <f>"00276848"</f>
        <v>00276848</v>
      </c>
    </row>
    <row r="2971" spans="1:2" x14ac:dyDescent="0.25">
      <c r="A2971" s="4">
        <v>2966</v>
      </c>
      <c r="B2971" s="3" t="str">
        <f>"00276958"</f>
        <v>00276958</v>
      </c>
    </row>
    <row r="2972" spans="1:2" x14ac:dyDescent="0.25">
      <c r="A2972" s="4">
        <v>2967</v>
      </c>
      <c r="B2972" s="3" t="str">
        <f>"00276961"</f>
        <v>00276961</v>
      </c>
    </row>
    <row r="2973" spans="1:2" x14ac:dyDescent="0.25">
      <c r="A2973" s="4">
        <v>2968</v>
      </c>
      <c r="B2973" s="3" t="str">
        <f>"00277005"</f>
        <v>00277005</v>
      </c>
    </row>
    <row r="2974" spans="1:2" x14ac:dyDescent="0.25">
      <c r="A2974" s="4">
        <v>2969</v>
      </c>
      <c r="B2974" s="3" t="str">
        <f>"00277261"</f>
        <v>00277261</v>
      </c>
    </row>
    <row r="2975" spans="1:2" x14ac:dyDescent="0.25">
      <c r="A2975" s="4">
        <v>2970</v>
      </c>
      <c r="B2975" s="3" t="str">
        <f>"00277290"</f>
        <v>00277290</v>
      </c>
    </row>
    <row r="2976" spans="1:2" x14ac:dyDescent="0.25">
      <c r="A2976" s="4">
        <v>2971</v>
      </c>
      <c r="B2976" s="3" t="str">
        <f>"00277326"</f>
        <v>00277326</v>
      </c>
    </row>
    <row r="2977" spans="1:2" x14ac:dyDescent="0.25">
      <c r="A2977" s="4">
        <v>2972</v>
      </c>
      <c r="B2977" s="3" t="str">
        <f>"00277414"</f>
        <v>00277414</v>
      </c>
    </row>
    <row r="2978" spans="1:2" x14ac:dyDescent="0.25">
      <c r="A2978" s="4">
        <v>2973</v>
      </c>
      <c r="B2978" s="3" t="str">
        <f>"00277428"</f>
        <v>00277428</v>
      </c>
    </row>
    <row r="2979" spans="1:2" x14ac:dyDescent="0.25">
      <c r="A2979" s="4">
        <v>2974</v>
      </c>
      <c r="B2979" s="3" t="str">
        <f>"00277438"</f>
        <v>00277438</v>
      </c>
    </row>
    <row r="2980" spans="1:2" x14ac:dyDescent="0.25">
      <c r="A2980" s="4">
        <v>2975</v>
      </c>
      <c r="B2980" s="3" t="str">
        <f>"00277700"</f>
        <v>00277700</v>
      </c>
    </row>
    <row r="2981" spans="1:2" x14ac:dyDescent="0.25">
      <c r="A2981" s="4">
        <v>2976</v>
      </c>
      <c r="B2981" s="3" t="str">
        <f>"00277722"</f>
        <v>00277722</v>
      </c>
    </row>
    <row r="2982" spans="1:2" x14ac:dyDescent="0.25">
      <c r="A2982" s="4">
        <v>2977</v>
      </c>
      <c r="B2982" s="3" t="str">
        <f>"00277735"</f>
        <v>00277735</v>
      </c>
    </row>
    <row r="2983" spans="1:2" x14ac:dyDescent="0.25">
      <c r="A2983" s="4">
        <v>2978</v>
      </c>
      <c r="B2983" s="3" t="str">
        <f>"00277766"</f>
        <v>00277766</v>
      </c>
    </row>
    <row r="2984" spans="1:2" x14ac:dyDescent="0.25">
      <c r="A2984" s="4">
        <v>2979</v>
      </c>
      <c r="B2984" s="3" t="str">
        <f>"00277807"</f>
        <v>00277807</v>
      </c>
    </row>
    <row r="2985" spans="1:2" x14ac:dyDescent="0.25">
      <c r="A2985" s="4">
        <v>2980</v>
      </c>
      <c r="B2985" s="3" t="str">
        <f>"00277861"</f>
        <v>00277861</v>
      </c>
    </row>
    <row r="2986" spans="1:2" x14ac:dyDescent="0.25">
      <c r="A2986" s="4">
        <v>2981</v>
      </c>
      <c r="B2986" s="3" t="str">
        <f>"00278235"</f>
        <v>00278235</v>
      </c>
    </row>
    <row r="2987" spans="1:2" x14ac:dyDescent="0.25">
      <c r="A2987" s="4">
        <v>2982</v>
      </c>
      <c r="B2987" s="3" t="str">
        <f>"00278269"</f>
        <v>00278269</v>
      </c>
    </row>
    <row r="2988" spans="1:2" x14ac:dyDescent="0.25">
      <c r="A2988" s="4">
        <v>2983</v>
      </c>
      <c r="B2988" s="3" t="str">
        <f>"00278491"</f>
        <v>00278491</v>
      </c>
    </row>
    <row r="2989" spans="1:2" x14ac:dyDescent="0.25">
      <c r="A2989" s="4">
        <v>2984</v>
      </c>
      <c r="B2989" s="3" t="str">
        <f>"00278760"</f>
        <v>00278760</v>
      </c>
    </row>
    <row r="2990" spans="1:2" x14ac:dyDescent="0.25">
      <c r="A2990" s="4">
        <v>2985</v>
      </c>
      <c r="B2990" s="3" t="str">
        <f>"00278824"</f>
        <v>00278824</v>
      </c>
    </row>
    <row r="2991" spans="1:2" x14ac:dyDescent="0.25">
      <c r="A2991" s="4">
        <v>2986</v>
      </c>
      <c r="B2991" s="3" t="str">
        <f>"00278857"</f>
        <v>00278857</v>
      </c>
    </row>
    <row r="2992" spans="1:2" x14ac:dyDescent="0.25">
      <c r="A2992" s="4">
        <v>2987</v>
      </c>
      <c r="B2992" s="3" t="str">
        <f>"00278858"</f>
        <v>00278858</v>
      </c>
    </row>
    <row r="2993" spans="1:2" x14ac:dyDescent="0.25">
      <c r="A2993" s="4">
        <v>2988</v>
      </c>
      <c r="B2993" s="3" t="str">
        <f>"00279028"</f>
        <v>00279028</v>
      </c>
    </row>
    <row r="2994" spans="1:2" x14ac:dyDescent="0.25">
      <c r="A2994" s="4">
        <v>2989</v>
      </c>
      <c r="B2994" s="3" t="str">
        <f>"00279061"</f>
        <v>00279061</v>
      </c>
    </row>
    <row r="2995" spans="1:2" x14ac:dyDescent="0.25">
      <c r="A2995" s="4">
        <v>2990</v>
      </c>
      <c r="B2995" s="3" t="str">
        <f>"00279068"</f>
        <v>00279068</v>
      </c>
    </row>
    <row r="2996" spans="1:2" x14ac:dyDescent="0.25">
      <c r="A2996" s="4">
        <v>2991</v>
      </c>
      <c r="B2996" s="3" t="str">
        <f>"00279151"</f>
        <v>00279151</v>
      </c>
    </row>
    <row r="2997" spans="1:2" x14ac:dyDescent="0.25">
      <c r="A2997" s="4">
        <v>2992</v>
      </c>
      <c r="B2997" s="3" t="str">
        <f>"00279408"</f>
        <v>00279408</v>
      </c>
    </row>
    <row r="2998" spans="1:2" x14ac:dyDescent="0.25">
      <c r="A2998" s="4">
        <v>2993</v>
      </c>
      <c r="B2998" s="3" t="str">
        <f>"00279579"</f>
        <v>00279579</v>
      </c>
    </row>
    <row r="2999" spans="1:2" x14ac:dyDescent="0.25">
      <c r="A2999" s="4">
        <v>2994</v>
      </c>
      <c r="B2999" s="3" t="str">
        <f>"00279643"</f>
        <v>00279643</v>
      </c>
    </row>
    <row r="3000" spans="1:2" x14ac:dyDescent="0.25">
      <c r="A3000" s="4">
        <v>2995</v>
      </c>
      <c r="B3000" s="3" t="str">
        <f>"00279645"</f>
        <v>00279645</v>
      </c>
    </row>
    <row r="3001" spans="1:2" x14ac:dyDescent="0.25">
      <c r="A3001" s="4">
        <v>2996</v>
      </c>
      <c r="B3001" s="3" t="str">
        <f>"00279744"</f>
        <v>00279744</v>
      </c>
    </row>
    <row r="3002" spans="1:2" x14ac:dyDescent="0.25">
      <c r="A3002" s="4">
        <v>2997</v>
      </c>
      <c r="B3002" s="3" t="str">
        <f>"00279758"</f>
        <v>00279758</v>
      </c>
    </row>
    <row r="3003" spans="1:2" x14ac:dyDescent="0.25">
      <c r="A3003" s="4">
        <v>2998</v>
      </c>
      <c r="B3003" s="3" t="str">
        <f>"00279778"</f>
        <v>00279778</v>
      </c>
    </row>
    <row r="3004" spans="1:2" x14ac:dyDescent="0.25">
      <c r="A3004" s="4">
        <v>2999</v>
      </c>
      <c r="B3004" s="3" t="str">
        <f>"00279793"</f>
        <v>00279793</v>
      </c>
    </row>
    <row r="3005" spans="1:2" x14ac:dyDescent="0.25">
      <c r="A3005" s="4">
        <v>3000</v>
      </c>
      <c r="B3005" s="3" t="str">
        <f>"00279798"</f>
        <v>00279798</v>
      </c>
    </row>
    <row r="3006" spans="1:2" x14ac:dyDescent="0.25">
      <c r="A3006" s="4">
        <v>3001</v>
      </c>
      <c r="B3006" s="3" t="str">
        <f>"00279799"</f>
        <v>00279799</v>
      </c>
    </row>
    <row r="3007" spans="1:2" x14ac:dyDescent="0.25">
      <c r="A3007" s="4">
        <v>3002</v>
      </c>
      <c r="B3007" s="3" t="str">
        <f>"00279829"</f>
        <v>00279829</v>
      </c>
    </row>
    <row r="3008" spans="1:2" x14ac:dyDescent="0.25">
      <c r="A3008" s="4">
        <v>3003</v>
      </c>
      <c r="B3008" s="3" t="str">
        <f>"00279918"</f>
        <v>00279918</v>
      </c>
    </row>
    <row r="3009" spans="1:2" x14ac:dyDescent="0.25">
      <c r="A3009" s="4">
        <v>3004</v>
      </c>
      <c r="B3009" s="3" t="str">
        <f>"00279947"</f>
        <v>00279947</v>
      </c>
    </row>
    <row r="3010" spans="1:2" x14ac:dyDescent="0.25">
      <c r="A3010" s="4">
        <v>3005</v>
      </c>
      <c r="B3010" s="3" t="str">
        <f>"00280281"</f>
        <v>00280281</v>
      </c>
    </row>
    <row r="3011" spans="1:2" x14ac:dyDescent="0.25">
      <c r="A3011" s="4">
        <v>3006</v>
      </c>
      <c r="B3011" s="3" t="str">
        <f>"00280354"</f>
        <v>00280354</v>
      </c>
    </row>
    <row r="3012" spans="1:2" x14ac:dyDescent="0.25">
      <c r="A3012" s="4">
        <v>3007</v>
      </c>
      <c r="B3012" s="3" t="str">
        <f>"00280477"</f>
        <v>00280477</v>
      </c>
    </row>
    <row r="3013" spans="1:2" x14ac:dyDescent="0.25">
      <c r="A3013" s="4">
        <v>3008</v>
      </c>
      <c r="B3013" s="3" t="str">
        <f>"00280548"</f>
        <v>00280548</v>
      </c>
    </row>
    <row r="3014" spans="1:2" x14ac:dyDescent="0.25">
      <c r="A3014" s="4">
        <v>3009</v>
      </c>
      <c r="B3014" s="3" t="str">
        <f>"00280762"</f>
        <v>00280762</v>
      </c>
    </row>
    <row r="3015" spans="1:2" x14ac:dyDescent="0.25">
      <c r="A3015" s="4">
        <v>3010</v>
      </c>
      <c r="B3015" s="3" t="str">
        <f>"00280793"</f>
        <v>00280793</v>
      </c>
    </row>
    <row r="3016" spans="1:2" x14ac:dyDescent="0.25">
      <c r="A3016" s="4">
        <v>3011</v>
      </c>
      <c r="B3016" s="3" t="str">
        <f>"00280963"</f>
        <v>00280963</v>
      </c>
    </row>
    <row r="3017" spans="1:2" x14ac:dyDescent="0.25">
      <c r="A3017" s="4">
        <v>3012</v>
      </c>
      <c r="B3017" s="3" t="str">
        <f>"00280978"</f>
        <v>00280978</v>
      </c>
    </row>
    <row r="3018" spans="1:2" x14ac:dyDescent="0.25">
      <c r="A3018" s="4">
        <v>3013</v>
      </c>
      <c r="B3018" s="3" t="str">
        <f>"00281002"</f>
        <v>00281002</v>
      </c>
    </row>
    <row r="3019" spans="1:2" x14ac:dyDescent="0.25">
      <c r="A3019" s="4">
        <v>3014</v>
      </c>
      <c r="B3019" s="3" t="str">
        <f>"00281060"</f>
        <v>00281060</v>
      </c>
    </row>
    <row r="3020" spans="1:2" x14ac:dyDescent="0.25">
      <c r="A3020" s="4">
        <v>3015</v>
      </c>
      <c r="B3020" s="3" t="str">
        <f>"00281101"</f>
        <v>00281101</v>
      </c>
    </row>
    <row r="3021" spans="1:2" x14ac:dyDescent="0.25">
      <c r="A3021" s="4">
        <v>3016</v>
      </c>
      <c r="B3021" s="3" t="str">
        <f>"00281321"</f>
        <v>00281321</v>
      </c>
    </row>
    <row r="3022" spans="1:2" x14ac:dyDescent="0.25">
      <c r="A3022" s="4">
        <v>3017</v>
      </c>
      <c r="B3022" s="3" t="str">
        <f>"00281473"</f>
        <v>00281473</v>
      </c>
    </row>
    <row r="3023" spans="1:2" x14ac:dyDescent="0.25">
      <c r="A3023" s="4">
        <v>3018</v>
      </c>
      <c r="B3023" s="3" t="str">
        <f>"00281597"</f>
        <v>00281597</v>
      </c>
    </row>
    <row r="3024" spans="1:2" x14ac:dyDescent="0.25">
      <c r="A3024" s="4">
        <v>3019</v>
      </c>
      <c r="B3024" s="3" t="str">
        <f>"00281701"</f>
        <v>00281701</v>
      </c>
    </row>
    <row r="3025" spans="1:2" x14ac:dyDescent="0.25">
      <c r="A3025" s="4">
        <v>3020</v>
      </c>
      <c r="B3025" s="3" t="str">
        <f>"00281710"</f>
        <v>00281710</v>
      </c>
    </row>
    <row r="3026" spans="1:2" x14ac:dyDescent="0.25">
      <c r="A3026" s="4">
        <v>3021</v>
      </c>
      <c r="B3026" s="3" t="str">
        <f>"00281802"</f>
        <v>00281802</v>
      </c>
    </row>
    <row r="3027" spans="1:2" x14ac:dyDescent="0.25">
      <c r="A3027" s="4">
        <v>3022</v>
      </c>
      <c r="B3027" s="3" t="str">
        <f>"00281816"</f>
        <v>00281816</v>
      </c>
    </row>
    <row r="3028" spans="1:2" x14ac:dyDescent="0.25">
      <c r="A3028" s="4">
        <v>3023</v>
      </c>
      <c r="B3028" s="3" t="str">
        <f>"00281873"</f>
        <v>00281873</v>
      </c>
    </row>
    <row r="3029" spans="1:2" x14ac:dyDescent="0.25">
      <c r="A3029" s="4">
        <v>3024</v>
      </c>
      <c r="B3029" s="3" t="str">
        <f>"00281902"</f>
        <v>00281902</v>
      </c>
    </row>
    <row r="3030" spans="1:2" x14ac:dyDescent="0.25">
      <c r="A3030" s="4">
        <v>3025</v>
      </c>
      <c r="B3030" s="3" t="str">
        <f>"00281919"</f>
        <v>00281919</v>
      </c>
    </row>
    <row r="3031" spans="1:2" x14ac:dyDescent="0.25">
      <c r="A3031" s="4">
        <v>3026</v>
      </c>
      <c r="B3031" s="3" t="str">
        <f>"00282077"</f>
        <v>00282077</v>
      </c>
    </row>
    <row r="3032" spans="1:2" x14ac:dyDescent="0.25">
      <c r="A3032" s="4">
        <v>3027</v>
      </c>
      <c r="B3032" s="3" t="str">
        <f>"00282085"</f>
        <v>00282085</v>
      </c>
    </row>
    <row r="3033" spans="1:2" x14ac:dyDescent="0.25">
      <c r="A3033" s="4">
        <v>3028</v>
      </c>
      <c r="B3033" s="3" t="str">
        <f>"00282097"</f>
        <v>00282097</v>
      </c>
    </row>
    <row r="3034" spans="1:2" x14ac:dyDescent="0.25">
      <c r="A3034" s="4">
        <v>3029</v>
      </c>
      <c r="B3034" s="3" t="str">
        <f>"00282121"</f>
        <v>00282121</v>
      </c>
    </row>
    <row r="3035" spans="1:2" x14ac:dyDescent="0.25">
      <c r="A3035" s="4">
        <v>3030</v>
      </c>
      <c r="B3035" s="3" t="str">
        <f>"00282145"</f>
        <v>00282145</v>
      </c>
    </row>
    <row r="3036" spans="1:2" x14ac:dyDescent="0.25">
      <c r="A3036" s="4">
        <v>3031</v>
      </c>
      <c r="B3036" s="3" t="str">
        <f>"00282195"</f>
        <v>00282195</v>
      </c>
    </row>
    <row r="3037" spans="1:2" x14ac:dyDescent="0.25">
      <c r="A3037" s="4">
        <v>3032</v>
      </c>
      <c r="B3037" s="3" t="str">
        <f>"00282446"</f>
        <v>00282446</v>
      </c>
    </row>
    <row r="3038" spans="1:2" x14ac:dyDescent="0.25">
      <c r="A3038" s="4">
        <v>3033</v>
      </c>
      <c r="B3038" s="3" t="str">
        <f>"00282534"</f>
        <v>00282534</v>
      </c>
    </row>
    <row r="3039" spans="1:2" x14ac:dyDescent="0.25">
      <c r="A3039" s="4">
        <v>3034</v>
      </c>
      <c r="B3039" s="3" t="str">
        <f>"00282547"</f>
        <v>00282547</v>
      </c>
    </row>
    <row r="3040" spans="1:2" x14ac:dyDescent="0.25">
      <c r="A3040" s="4">
        <v>3035</v>
      </c>
      <c r="B3040" s="3" t="str">
        <f>"00282555"</f>
        <v>00282555</v>
      </c>
    </row>
    <row r="3041" spans="1:2" x14ac:dyDescent="0.25">
      <c r="A3041" s="4">
        <v>3036</v>
      </c>
      <c r="B3041" s="3" t="str">
        <f>"00282595"</f>
        <v>00282595</v>
      </c>
    </row>
    <row r="3042" spans="1:2" x14ac:dyDescent="0.25">
      <c r="A3042" s="4">
        <v>3037</v>
      </c>
      <c r="B3042" s="3" t="str">
        <f>"00282608"</f>
        <v>00282608</v>
      </c>
    </row>
    <row r="3043" spans="1:2" x14ac:dyDescent="0.25">
      <c r="A3043" s="4">
        <v>3038</v>
      </c>
      <c r="B3043" s="3" t="str">
        <f>"00282693"</f>
        <v>00282693</v>
      </c>
    </row>
    <row r="3044" spans="1:2" x14ac:dyDescent="0.25">
      <c r="A3044" s="4">
        <v>3039</v>
      </c>
      <c r="B3044" s="3" t="str">
        <f>"00282826"</f>
        <v>00282826</v>
      </c>
    </row>
    <row r="3045" spans="1:2" x14ac:dyDescent="0.25">
      <c r="A3045" s="4">
        <v>3040</v>
      </c>
      <c r="B3045" s="3" t="str">
        <f>"00282837"</f>
        <v>00282837</v>
      </c>
    </row>
    <row r="3046" spans="1:2" x14ac:dyDescent="0.25">
      <c r="A3046" s="4">
        <v>3041</v>
      </c>
      <c r="B3046" s="3" t="str">
        <f>"00282897"</f>
        <v>00282897</v>
      </c>
    </row>
    <row r="3047" spans="1:2" x14ac:dyDescent="0.25">
      <c r="A3047" s="4">
        <v>3042</v>
      </c>
      <c r="B3047" s="3" t="str">
        <f>"00283150"</f>
        <v>00283150</v>
      </c>
    </row>
    <row r="3048" spans="1:2" x14ac:dyDescent="0.25">
      <c r="A3048" s="4">
        <v>3043</v>
      </c>
      <c r="B3048" s="3" t="str">
        <f>"00283192"</f>
        <v>00283192</v>
      </c>
    </row>
    <row r="3049" spans="1:2" x14ac:dyDescent="0.25">
      <c r="A3049" s="4">
        <v>3044</v>
      </c>
      <c r="B3049" s="3" t="str">
        <f>"00283219"</f>
        <v>00283219</v>
      </c>
    </row>
    <row r="3050" spans="1:2" x14ac:dyDescent="0.25">
      <c r="A3050" s="4">
        <v>3045</v>
      </c>
      <c r="B3050" s="3" t="str">
        <f>"00283396"</f>
        <v>00283396</v>
      </c>
    </row>
    <row r="3051" spans="1:2" x14ac:dyDescent="0.25">
      <c r="A3051" s="4">
        <v>3046</v>
      </c>
      <c r="B3051" s="3" t="str">
        <f>"00283442"</f>
        <v>00283442</v>
      </c>
    </row>
    <row r="3052" spans="1:2" x14ac:dyDescent="0.25">
      <c r="A3052" s="4">
        <v>3047</v>
      </c>
      <c r="B3052" s="3" t="str">
        <f>"00283463"</f>
        <v>00283463</v>
      </c>
    </row>
    <row r="3053" spans="1:2" x14ac:dyDescent="0.25">
      <c r="A3053" s="4">
        <v>3048</v>
      </c>
      <c r="B3053" s="3" t="str">
        <f>"00283724"</f>
        <v>00283724</v>
      </c>
    </row>
    <row r="3054" spans="1:2" x14ac:dyDescent="0.25">
      <c r="A3054" s="4">
        <v>3049</v>
      </c>
      <c r="B3054" s="3" t="str">
        <f>"00283854"</f>
        <v>00283854</v>
      </c>
    </row>
    <row r="3055" spans="1:2" x14ac:dyDescent="0.25">
      <c r="A3055" s="4">
        <v>3050</v>
      </c>
      <c r="B3055" s="3" t="str">
        <f>"00283924"</f>
        <v>00283924</v>
      </c>
    </row>
    <row r="3056" spans="1:2" x14ac:dyDescent="0.25">
      <c r="A3056" s="4">
        <v>3051</v>
      </c>
      <c r="B3056" s="3" t="str">
        <f>"00283937"</f>
        <v>00283937</v>
      </c>
    </row>
    <row r="3057" spans="1:2" x14ac:dyDescent="0.25">
      <c r="A3057" s="4">
        <v>3052</v>
      </c>
      <c r="B3057" s="3" t="str">
        <f>"00283987"</f>
        <v>00283987</v>
      </c>
    </row>
    <row r="3058" spans="1:2" x14ac:dyDescent="0.25">
      <c r="A3058" s="4">
        <v>3053</v>
      </c>
      <c r="B3058" s="3" t="str">
        <f>"00284145"</f>
        <v>00284145</v>
      </c>
    </row>
    <row r="3059" spans="1:2" x14ac:dyDescent="0.25">
      <c r="A3059" s="4">
        <v>3054</v>
      </c>
      <c r="B3059" s="3" t="str">
        <f>"00284171"</f>
        <v>00284171</v>
      </c>
    </row>
    <row r="3060" spans="1:2" x14ac:dyDescent="0.25">
      <c r="A3060" s="4">
        <v>3055</v>
      </c>
      <c r="B3060" s="3" t="str">
        <f>"00284177"</f>
        <v>00284177</v>
      </c>
    </row>
    <row r="3061" spans="1:2" x14ac:dyDescent="0.25">
      <c r="A3061" s="4">
        <v>3056</v>
      </c>
      <c r="B3061" s="3" t="str">
        <f>"00284205"</f>
        <v>00284205</v>
      </c>
    </row>
    <row r="3062" spans="1:2" x14ac:dyDescent="0.25">
      <c r="A3062" s="4">
        <v>3057</v>
      </c>
      <c r="B3062" s="3" t="str">
        <f>"00284311"</f>
        <v>00284311</v>
      </c>
    </row>
    <row r="3063" spans="1:2" x14ac:dyDescent="0.25">
      <c r="A3063" s="4">
        <v>3058</v>
      </c>
      <c r="B3063" s="3" t="str">
        <f>"00284354"</f>
        <v>00284354</v>
      </c>
    </row>
    <row r="3064" spans="1:2" x14ac:dyDescent="0.25">
      <c r="A3064" s="4">
        <v>3059</v>
      </c>
      <c r="B3064" s="3" t="str">
        <f>"00284741"</f>
        <v>00284741</v>
      </c>
    </row>
    <row r="3065" spans="1:2" x14ac:dyDescent="0.25">
      <c r="A3065" s="4">
        <v>3060</v>
      </c>
      <c r="B3065" s="3" t="str">
        <f>"00284848"</f>
        <v>00284848</v>
      </c>
    </row>
    <row r="3066" spans="1:2" x14ac:dyDescent="0.25">
      <c r="A3066" s="4">
        <v>3061</v>
      </c>
      <c r="B3066" s="3" t="str">
        <f>"00284942"</f>
        <v>00284942</v>
      </c>
    </row>
    <row r="3067" spans="1:2" x14ac:dyDescent="0.25">
      <c r="A3067" s="4">
        <v>3062</v>
      </c>
      <c r="B3067" s="3" t="str">
        <f>"00284950"</f>
        <v>00284950</v>
      </c>
    </row>
    <row r="3068" spans="1:2" x14ac:dyDescent="0.25">
      <c r="A3068" s="4">
        <v>3063</v>
      </c>
      <c r="B3068" s="3" t="str">
        <f>"00284996"</f>
        <v>00284996</v>
      </c>
    </row>
    <row r="3069" spans="1:2" x14ac:dyDescent="0.25">
      <c r="A3069" s="4">
        <v>3064</v>
      </c>
      <c r="B3069" s="3" t="str">
        <f>"00285297"</f>
        <v>00285297</v>
      </c>
    </row>
    <row r="3070" spans="1:2" x14ac:dyDescent="0.25">
      <c r="A3070" s="4">
        <v>3065</v>
      </c>
      <c r="B3070" s="3" t="str">
        <f>"00285367"</f>
        <v>00285367</v>
      </c>
    </row>
    <row r="3071" spans="1:2" x14ac:dyDescent="0.25">
      <c r="A3071" s="4">
        <v>3066</v>
      </c>
      <c r="B3071" s="3" t="str">
        <f>"00285711"</f>
        <v>00285711</v>
      </c>
    </row>
    <row r="3072" spans="1:2" x14ac:dyDescent="0.25">
      <c r="A3072" s="4">
        <v>3067</v>
      </c>
      <c r="B3072" s="3" t="str">
        <f>"00285865"</f>
        <v>00285865</v>
      </c>
    </row>
    <row r="3073" spans="1:2" x14ac:dyDescent="0.25">
      <c r="A3073" s="4">
        <v>3068</v>
      </c>
      <c r="B3073" s="3" t="str">
        <f>"00286130"</f>
        <v>00286130</v>
      </c>
    </row>
    <row r="3074" spans="1:2" x14ac:dyDescent="0.25">
      <c r="A3074" s="4">
        <v>3069</v>
      </c>
      <c r="B3074" s="3" t="str">
        <f>"00286195"</f>
        <v>00286195</v>
      </c>
    </row>
    <row r="3075" spans="1:2" x14ac:dyDescent="0.25">
      <c r="A3075" s="4">
        <v>3070</v>
      </c>
      <c r="B3075" s="3" t="str">
        <f>"00286257"</f>
        <v>00286257</v>
      </c>
    </row>
    <row r="3076" spans="1:2" x14ac:dyDescent="0.25">
      <c r="A3076" s="4">
        <v>3071</v>
      </c>
      <c r="B3076" s="3" t="str">
        <f>"00286307"</f>
        <v>00286307</v>
      </c>
    </row>
    <row r="3077" spans="1:2" x14ac:dyDescent="0.25">
      <c r="A3077" s="4">
        <v>3072</v>
      </c>
      <c r="B3077" s="3" t="str">
        <f>"00286317"</f>
        <v>00286317</v>
      </c>
    </row>
    <row r="3078" spans="1:2" x14ac:dyDescent="0.25">
      <c r="A3078" s="4">
        <v>3073</v>
      </c>
      <c r="B3078" s="3" t="str">
        <f>"00286452"</f>
        <v>00286452</v>
      </c>
    </row>
    <row r="3079" spans="1:2" x14ac:dyDescent="0.25">
      <c r="A3079" s="4">
        <v>3074</v>
      </c>
      <c r="B3079" s="3" t="str">
        <f>"00286583"</f>
        <v>00286583</v>
      </c>
    </row>
    <row r="3080" spans="1:2" x14ac:dyDescent="0.25">
      <c r="A3080" s="4">
        <v>3075</v>
      </c>
      <c r="B3080" s="3" t="str">
        <f>"00286637"</f>
        <v>00286637</v>
      </c>
    </row>
    <row r="3081" spans="1:2" x14ac:dyDescent="0.25">
      <c r="A3081" s="4">
        <v>3076</v>
      </c>
      <c r="B3081" s="3" t="str">
        <f>"00286801"</f>
        <v>00286801</v>
      </c>
    </row>
    <row r="3082" spans="1:2" x14ac:dyDescent="0.25">
      <c r="A3082" s="4">
        <v>3077</v>
      </c>
      <c r="B3082" s="3" t="str">
        <f>"00286903"</f>
        <v>00286903</v>
      </c>
    </row>
    <row r="3083" spans="1:2" x14ac:dyDescent="0.25">
      <c r="A3083" s="4">
        <v>3078</v>
      </c>
      <c r="B3083" s="3" t="str">
        <f>"00286939"</f>
        <v>00286939</v>
      </c>
    </row>
    <row r="3084" spans="1:2" x14ac:dyDescent="0.25">
      <c r="A3084" s="4">
        <v>3079</v>
      </c>
      <c r="B3084" s="3" t="str">
        <f>"00286975"</f>
        <v>00286975</v>
      </c>
    </row>
    <row r="3085" spans="1:2" x14ac:dyDescent="0.25">
      <c r="A3085" s="4">
        <v>3080</v>
      </c>
      <c r="B3085" s="3" t="str">
        <f>"00287098"</f>
        <v>00287098</v>
      </c>
    </row>
    <row r="3086" spans="1:2" x14ac:dyDescent="0.25">
      <c r="A3086" s="4">
        <v>3081</v>
      </c>
      <c r="B3086" s="3" t="str">
        <f>"00287128"</f>
        <v>00287128</v>
      </c>
    </row>
    <row r="3087" spans="1:2" x14ac:dyDescent="0.25">
      <c r="A3087" s="4">
        <v>3082</v>
      </c>
      <c r="B3087" s="3" t="str">
        <f>"00287265"</f>
        <v>00287265</v>
      </c>
    </row>
    <row r="3088" spans="1:2" x14ac:dyDescent="0.25">
      <c r="A3088" s="4">
        <v>3083</v>
      </c>
      <c r="B3088" s="3" t="str">
        <f>"00287319"</f>
        <v>00287319</v>
      </c>
    </row>
    <row r="3089" spans="1:2" x14ac:dyDescent="0.25">
      <c r="A3089" s="4">
        <v>3084</v>
      </c>
      <c r="B3089" s="3" t="str">
        <f>"00287450"</f>
        <v>00287450</v>
      </c>
    </row>
    <row r="3090" spans="1:2" x14ac:dyDescent="0.25">
      <c r="A3090" s="4">
        <v>3085</v>
      </c>
      <c r="B3090" s="3" t="str">
        <f>"00287554"</f>
        <v>00287554</v>
      </c>
    </row>
    <row r="3091" spans="1:2" x14ac:dyDescent="0.25">
      <c r="A3091" s="4">
        <v>3086</v>
      </c>
      <c r="B3091" s="3" t="str">
        <f>"00287853"</f>
        <v>00287853</v>
      </c>
    </row>
    <row r="3092" spans="1:2" x14ac:dyDescent="0.25">
      <c r="A3092" s="4">
        <v>3087</v>
      </c>
      <c r="B3092" s="3" t="str">
        <f>"00287945"</f>
        <v>00287945</v>
      </c>
    </row>
    <row r="3093" spans="1:2" x14ac:dyDescent="0.25">
      <c r="A3093" s="4">
        <v>3088</v>
      </c>
      <c r="B3093" s="3" t="str">
        <f>"00287978"</f>
        <v>00287978</v>
      </c>
    </row>
    <row r="3094" spans="1:2" x14ac:dyDescent="0.25">
      <c r="A3094" s="4">
        <v>3089</v>
      </c>
      <c r="B3094" s="3" t="str">
        <f>"00288063"</f>
        <v>00288063</v>
      </c>
    </row>
    <row r="3095" spans="1:2" x14ac:dyDescent="0.25">
      <c r="A3095" s="4">
        <v>3090</v>
      </c>
      <c r="B3095" s="3" t="str">
        <f>"00288178"</f>
        <v>00288178</v>
      </c>
    </row>
    <row r="3096" spans="1:2" x14ac:dyDescent="0.25">
      <c r="A3096" s="4">
        <v>3091</v>
      </c>
      <c r="B3096" s="3" t="str">
        <f>"00288210"</f>
        <v>00288210</v>
      </c>
    </row>
    <row r="3097" spans="1:2" x14ac:dyDescent="0.25">
      <c r="A3097" s="4">
        <v>3092</v>
      </c>
      <c r="B3097" s="3" t="str">
        <f>"00288254"</f>
        <v>00288254</v>
      </c>
    </row>
    <row r="3098" spans="1:2" x14ac:dyDescent="0.25">
      <c r="A3098" s="4">
        <v>3093</v>
      </c>
      <c r="B3098" s="3" t="str">
        <f>"00288543"</f>
        <v>00288543</v>
      </c>
    </row>
    <row r="3099" spans="1:2" x14ac:dyDescent="0.25">
      <c r="A3099" s="4">
        <v>3094</v>
      </c>
      <c r="B3099" s="3" t="str">
        <f>"00288581"</f>
        <v>00288581</v>
      </c>
    </row>
    <row r="3100" spans="1:2" x14ac:dyDescent="0.25">
      <c r="A3100" s="4">
        <v>3095</v>
      </c>
      <c r="B3100" s="3" t="str">
        <f>"00288602"</f>
        <v>00288602</v>
      </c>
    </row>
    <row r="3101" spans="1:2" x14ac:dyDescent="0.25">
      <c r="A3101" s="4">
        <v>3096</v>
      </c>
      <c r="B3101" s="3" t="str">
        <f>"00288654"</f>
        <v>00288654</v>
      </c>
    </row>
    <row r="3102" spans="1:2" x14ac:dyDescent="0.25">
      <c r="A3102" s="4">
        <v>3097</v>
      </c>
      <c r="B3102" s="3" t="str">
        <f>"00288717"</f>
        <v>00288717</v>
      </c>
    </row>
    <row r="3103" spans="1:2" x14ac:dyDescent="0.25">
      <c r="A3103" s="4">
        <v>3098</v>
      </c>
      <c r="B3103" s="3" t="str">
        <f>"00288887"</f>
        <v>00288887</v>
      </c>
    </row>
    <row r="3104" spans="1:2" x14ac:dyDescent="0.25">
      <c r="A3104" s="4">
        <v>3099</v>
      </c>
      <c r="B3104" s="3" t="str">
        <f>"00288937"</f>
        <v>00288937</v>
      </c>
    </row>
    <row r="3105" spans="1:2" x14ac:dyDescent="0.25">
      <c r="A3105" s="4">
        <v>3100</v>
      </c>
      <c r="B3105" s="3" t="str">
        <f>"00289109"</f>
        <v>00289109</v>
      </c>
    </row>
    <row r="3106" spans="1:2" x14ac:dyDescent="0.25">
      <c r="A3106" s="4">
        <v>3101</v>
      </c>
      <c r="B3106" s="3" t="str">
        <f>"00289171"</f>
        <v>00289171</v>
      </c>
    </row>
    <row r="3107" spans="1:2" x14ac:dyDescent="0.25">
      <c r="A3107" s="4">
        <v>3102</v>
      </c>
      <c r="B3107" s="3" t="str">
        <f>"00289425"</f>
        <v>00289425</v>
      </c>
    </row>
    <row r="3108" spans="1:2" x14ac:dyDescent="0.25">
      <c r="A3108" s="4">
        <v>3103</v>
      </c>
      <c r="B3108" s="3" t="str">
        <f>"00289448"</f>
        <v>00289448</v>
      </c>
    </row>
    <row r="3109" spans="1:2" x14ac:dyDescent="0.25">
      <c r="A3109" s="4">
        <v>3104</v>
      </c>
      <c r="B3109" s="3" t="str">
        <f>"00289580"</f>
        <v>00289580</v>
      </c>
    </row>
    <row r="3110" spans="1:2" x14ac:dyDescent="0.25">
      <c r="A3110" s="4">
        <v>3105</v>
      </c>
      <c r="B3110" s="3" t="str">
        <f>"00289599"</f>
        <v>00289599</v>
      </c>
    </row>
    <row r="3111" spans="1:2" x14ac:dyDescent="0.25">
      <c r="A3111" s="4">
        <v>3106</v>
      </c>
      <c r="B3111" s="3" t="str">
        <f>"00289665"</f>
        <v>00289665</v>
      </c>
    </row>
    <row r="3112" spans="1:2" x14ac:dyDescent="0.25">
      <c r="A3112" s="4">
        <v>3107</v>
      </c>
      <c r="B3112" s="3" t="str">
        <f>"00289755"</f>
        <v>00289755</v>
      </c>
    </row>
    <row r="3113" spans="1:2" x14ac:dyDescent="0.25">
      <c r="A3113" s="4">
        <v>3108</v>
      </c>
      <c r="B3113" s="3" t="str">
        <f>"00289877"</f>
        <v>00289877</v>
      </c>
    </row>
    <row r="3114" spans="1:2" x14ac:dyDescent="0.25">
      <c r="A3114" s="4">
        <v>3109</v>
      </c>
      <c r="B3114" s="3" t="str">
        <f>"00289958"</f>
        <v>00289958</v>
      </c>
    </row>
    <row r="3115" spans="1:2" x14ac:dyDescent="0.25">
      <c r="A3115" s="4">
        <v>3110</v>
      </c>
      <c r="B3115" s="3" t="str">
        <f>"00289977"</f>
        <v>00289977</v>
      </c>
    </row>
    <row r="3116" spans="1:2" x14ac:dyDescent="0.25">
      <c r="A3116" s="4">
        <v>3111</v>
      </c>
      <c r="B3116" s="3" t="str">
        <f>"00290002"</f>
        <v>00290002</v>
      </c>
    </row>
    <row r="3117" spans="1:2" x14ac:dyDescent="0.25">
      <c r="A3117" s="4">
        <v>3112</v>
      </c>
      <c r="B3117" s="3" t="str">
        <f>"00290078"</f>
        <v>00290078</v>
      </c>
    </row>
    <row r="3118" spans="1:2" x14ac:dyDescent="0.25">
      <c r="A3118" s="4">
        <v>3113</v>
      </c>
      <c r="B3118" s="3" t="str">
        <f>"00290676"</f>
        <v>00290676</v>
      </c>
    </row>
    <row r="3119" spans="1:2" x14ac:dyDescent="0.25">
      <c r="A3119" s="4">
        <v>3114</v>
      </c>
      <c r="B3119" s="3" t="str">
        <f>"00290684"</f>
        <v>00290684</v>
      </c>
    </row>
    <row r="3120" spans="1:2" x14ac:dyDescent="0.25">
      <c r="A3120" s="4">
        <v>3115</v>
      </c>
      <c r="B3120" s="3" t="str">
        <f>"00290701"</f>
        <v>00290701</v>
      </c>
    </row>
    <row r="3121" spans="1:2" x14ac:dyDescent="0.25">
      <c r="A3121" s="4">
        <v>3116</v>
      </c>
      <c r="B3121" s="3" t="str">
        <f>"00290759"</f>
        <v>00290759</v>
      </c>
    </row>
    <row r="3122" spans="1:2" x14ac:dyDescent="0.25">
      <c r="A3122" s="4">
        <v>3117</v>
      </c>
      <c r="B3122" s="3" t="str">
        <f>"00290826"</f>
        <v>00290826</v>
      </c>
    </row>
    <row r="3123" spans="1:2" x14ac:dyDescent="0.25">
      <c r="A3123" s="4">
        <v>3118</v>
      </c>
      <c r="B3123" s="3" t="str">
        <f>"00291160"</f>
        <v>00291160</v>
      </c>
    </row>
    <row r="3124" spans="1:2" x14ac:dyDescent="0.25">
      <c r="A3124" s="4">
        <v>3119</v>
      </c>
      <c r="B3124" s="3" t="str">
        <f>"00291202"</f>
        <v>00291202</v>
      </c>
    </row>
    <row r="3125" spans="1:2" x14ac:dyDescent="0.25">
      <c r="A3125" s="4">
        <v>3120</v>
      </c>
      <c r="B3125" s="3" t="str">
        <f>"00291218"</f>
        <v>00291218</v>
      </c>
    </row>
    <row r="3126" spans="1:2" x14ac:dyDescent="0.25">
      <c r="A3126" s="4">
        <v>3121</v>
      </c>
      <c r="B3126" s="3" t="str">
        <f>"00291400"</f>
        <v>00291400</v>
      </c>
    </row>
    <row r="3127" spans="1:2" x14ac:dyDescent="0.25">
      <c r="A3127" s="4">
        <v>3122</v>
      </c>
      <c r="B3127" s="3" t="str">
        <f>"00291545"</f>
        <v>00291545</v>
      </c>
    </row>
    <row r="3128" spans="1:2" x14ac:dyDescent="0.25">
      <c r="A3128" s="4">
        <v>3123</v>
      </c>
      <c r="B3128" s="3" t="str">
        <f>"00291627"</f>
        <v>00291627</v>
      </c>
    </row>
    <row r="3129" spans="1:2" x14ac:dyDescent="0.25">
      <c r="A3129" s="4">
        <v>3124</v>
      </c>
      <c r="B3129" s="3" t="str">
        <f>"00291710"</f>
        <v>00291710</v>
      </c>
    </row>
    <row r="3130" spans="1:2" s="17" customFormat="1" x14ac:dyDescent="0.25">
      <c r="A3130" s="4">
        <v>3125</v>
      </c>
      <c r="B3130" s="18" t="s">
        <v>16</v>
      </c>
    </row>
    <row r="3131" spans="1:2" x14ac:dyDescent="0.25">
      <c r="A3131" s="4">
        <v>3126</v>
      </c>
      <c r="B3131" s="3" t="str">
        <f>"00291799"</f>
        <v>00291799</v>
      </c>
    </row>
    <row r="3132" spans="1:2" x14ac:dyDescent="0.25">
      <c r="A3132" s="4">
        <v>3127</v>
      </c>
      <c r="B3132" s="3" t="str">
        <f>"00291800"</f>
        <v>00291800</v>
      </c>
    </row>
    <row r="3133" spans="1:2" x14ac:dyDescent="0.25">
      <c r="A3133" s="4">
        <v>3128</v>
      </c>
      <c r="B3133" s="3" t="str">
        <f>"00291832"</f>
        <v>00291832</v>
      </c>
    </row>
    <row r="3134" spans="1:2" x14ac:dyDescent="0.25">
      <c r="A3134" s="4">
        <v>3129</v>
      </c>
      <c r="B3134" s="3" t="str">
        <f>"00291888"</f>
        <v>00291888</v>
      </c>
    </row>
    <row r="3135" spans="1:2" x14ac:dyDescent="0.25">
      <c r="A3135" s="4">
        <v>3130</v>
      </c>
      <c r="B3135" s="3" t="str">
        <f>"00291965"</f>
        <v>00291965</v>
      </c>
    </row>
    <row r="3136" spans="1:2" x14ac:dyDescent="0.25">
      <c r="A3136" s="4">
        <v>3131</v>
      </c>
      <c r="B3136" s="3" t="str">
        <f>"00292045"</f>
        <v>00292045</v>
      </c>
    </row>
    <row r="3137" spans="1:2" x14ac:dyDescent="0.25">
      <c r="A3137" s="4">
        <v>3132</v>
      </c>
      <c r="B3137" s="3" t="str">
        <f>"00292101"</f>
        <v>00292101</v>
      </c>
    </row>
    <row r="3138" spans="1:2" x14ac:dyDescent="0.25">
      <c r="A3138" s="4">
        <v>3133</v>
      </c>
      <c r="B3138" s="3" t="str">
        <f>"00292152"</f>
        <v>00292152</v>
      </c>
    </row>
    <row r="3139" spans="1:2" x14ac:dyDescent="0.25">
      <c r="A3139" s="4">
        <v>3134</v>
      </c>
      <c r="B3139" s="3" t="str">
        <f>"00292166"</f>
        <v>00292166</v>
      </c>
    </row>
    <row r="3140" spans="1:2" x14ac:dyDescent="0.25">
      <c r="A3140" s="4">
        <v>3135</v>
      </c>
      <c r="B3140" s="3" t="str">
        <f>"00292199"</f>
        <v>00292199</v>
      </c>
    </row>
    <row r="3141" spans="1:2" x14ac:dyDescent="0.25">
      <c r="A3141" s="4">
        <v>3136</v>
      </c>
      <c r="B3141" s="3" t="str">
        <f>"00292241"</f>
        <v>00292241</v>
      </c>
    </row>
    <row r="3142" spans="1:2" x14ac:dyDescent="0.25">
      <c r="A3142" s="4">
        <v>3137</v>
      </c>
      <c r="B3142" s="3" t="str">
        <f>"00292276"</f>
        <v>00292276</v>
      </c>
    </row>
    <row r="3143" spans="1:2" x14ac:dyDescent="0.25">
      <c r="A3143" s="4">
        <v>3138</v>
      </c>
      <c r="B3143" s="3" t="str">
        <f>"00292422"</f>
        <v>00292422</v>
      </c>
    </row>
    <row r="3144" spans="1:2" x14ac:dyDescent="0.25">
      <c r="A3144" s="4">
        <v>3139</v>
      </c>
      <c r="B3144" s="3" t="str">
        <f>"00292637"</f>
        <v>00292637</v>
      </c>
    </row>
    <row r="3145" spans="1:2" x14ac:dyDescent="0.25">
      <c r="A3145" s="4">
        <v>3140</v>
      </c>
      <c r="B3145" s="3" t="str">
        <f>"00292640"</f>
        <v>00292640</v>
      </c>
    </row>
    <row r="3146" spans="1:2" x14ac:dyDescent="0.25">
      <c r="A3146" s="4">
        <v>3141</v>
      </c>
      <c r="B3146" s="3" t="str">
        <f>"00292704"</f>
        <v>00292704</v>
      </c>
    </row>
    <row r="3147" spans="1:2" x14ac:dyDescent="0.25">
      <c r="A3147" s="4">
        <v>3142</v>
      </c>
      <c r="B3147" s="3" t="str">
        <f>"00292807"</f>
        <v>00292807</v>
      </c>
    </row>
    <row r="3148" spans="1:2" x14ac:dyDescent="0.25">
      <c r="A3148" s="4">
        <v>3143</v>
      </c>
      <c r="B3148" s="3" t="str">
        <f>"00292895"</f>
        <v>00292895</v>
      </c>
    </row>
    <row r="3149" spans="1:2" x14ac:dyDescent="0.25">
      <c r="A3149" s="4">
        <v>3144</v>
      </c>
      <c r="B3149" s="3" t="str">
        <f>"00292957"</f>
        <v>00292957</v>
      </c>
    </row>
    <row r="3150" spans="1:2" s="20" customFormat="1" x14ac:dyDescent="0.25">
      <c r="A3150" s="4">
        <v>3145</v>
      </c>
      <c r="B3150" s="18" t="s">
        <v>14</v>
      </c>
    </row>
    <row r="3151" spans="1:2" x14ac:dyDescent="0.25">
      <c r="A3151" s="4">
        <v>3146</v>
      </c>
      <c r="B3151" s="3" t="str">
        <f>"00293059"</f>
        <v>00293059</v>
      </c>
    </row>
    <row r="3152" spans="1:2" x14ac:dyDescent="0.25">
      <c r="A3152" s="4">
        <v>3147</v>
      </c>
      <c r="B3152" s="3" t="str">
        <f>"00293103"</f>
        <v>00293103</v>
      </c>
    </row>
    <row r="3153" spans="1:2" x14ac:dyDescent="0.25">
      <c r="A3153" s="4">
        <v>3148</v>
      </c>
      <c r="B3153" s="3" t="str">
        <f>"00293240"</f>
        <v>00293240</v>
      </c>
    </row>
    <row r="3154" spans="1:2" x14ac:dyDescent="0.25">
      <c r="A3154" s="4">
        <v>3149</v>
      </c>
      <c r="B3154" s="3" t="str">
        <f>"00293315"</f>
        <v>00293315</v>
      </c>
    </row>
    <row r="3155" spans="1:2" x14ac:dyDescent="0.25">
      <c r="A3155" s="4">
        <v>3150</v>
      </c>
      <c r="B3155" s="3" t="str">
        <f>"00293359"</f>
        <v>00293359</v>
      </c>
    </row>
    <row r="3156" spans="1:2" x14ac:dyDescent="0.25">
      <c r="A3156" s="4">
        <v>3151</v>
      </c>
      <c r="B3156" s="3" t="str">
        <f>"00293389"</f>
        <v>00293389</v>
      </c>
    </row>
    <row r="3157" spans="1:2" x14ac:dyDescent="0.25">
      <c r="A3157" s="4">
        <v>3152</v>
      </c>
      <c r="B3157" s="3" t="str">
        <f>"00293490"</f>
        <v>00293490</v>
      </c>
    </row>
    <row r="3158" spans="1:2" x14ac:dyDescent="0.25">
      <c r="A3158" s="4">
        <v>3153</v>
      </c>
      <c r="B3158" s="3" t="str">
        <f>"00293569"</f>
        <v>00293569</v>
      </c>
    </row>
    <row r="3159" spans="1:2" x14ac:dyDescent="0.25">
      <c r="A3159" s="4">
        <v>3154</v>
      </c>
      <c r="B3159" s="3" t="str">
        <f>"00293586"</f>
        <v>00293586</v>
      </c>
    </row>
    <row r="3160" spans="1:2" x14ac:dyDescent="0.25">
      <c r="A3160" s="4">
        <v>3155</v>
      </c>
      <c r="B3160" s="3" t="str">
        <f>"00293723"</f>
        <v>00293723</v>
      </c>
    </row>
    <row r="3161" spans="1:2" x14ac:dyDescent="0.25">
      <c r="A3161" s="4">
        <v>3156</v>
      </c>
      <c r="B3161" s="3" t="str">
        <f>"00293873"</f>
        <v>00293873</v>
      </c>
    </row>
    <row r="3162" spans="1:2" x14ac:dyDescent="0.25">
      <c r="A3162" s="4">
        <v>3157</v>
      </c>
      <c r="B3162" s="3" t="str">
        <f>"00294002"</f>
        <v>00294002</v>
      </c>
    </row>
    <row r="3163" spans="1:2" x14ac:dyDescent="0.25">
      <c r="A3163" s="4">
        <v>3158</v>
      </c>
      <c r="B3163" s="3" t="str">
        <f>"00294060"</f>
        <v>00294060</v>
      </c>
    </row>
    <row r="3164" spans="1:2" x14ac:dyDescent="0.25">
      <c r="A3164" s="4">
        <v>3159</v>
      </c>
      <c r="B3164" s="3" t="str">
        <f>"00294120"</f>
        <v>00294120</v>
      </c>
    </row>
    <row r="3165" spans="1:2" x14ac:dyDescent="0.25">
      <c r="A3165" s="4">
        <v>3160</v>
      </c>
      <c r="B3165" s="3" t="str">
        <f>"00294142"</f>
        <v>00294142</v>
      </c>
    </row>
    <row r="3166" spans="1:2" x14ac:dyDescent="0.25">
      <c r="A3166" s="4">
        <v>3161</v>
      </c>
      <c r="B3166" s="3" t="str">
        <f>"00294155"</f>
        <v>00294155</v>
      </c>
    </row>
    <row r="3167" spans="1:2" x14ac:dyDescent="0.25">
      <c r="A3167" s="4">
        <v>3162</v>
      </c>
      <c r="B3167" s="3" t="str">
        <f>"00294316"</f>
        <v>00294316</v>
      </c>
    </row>
    <row r="3168" spans="1:2" x14ac:dyDescent="0.25">
      <c r="A3168" s="4">
        <v>3163</v>
      </c>
      <c r="B3168" s="3" t="str">
        <f>"00294382"</f>
        <v>00294382</v>
      </c>
    </row>
    <row r="3169" spans="1:2" x14ac:dyDescent="0.25">
      <c r="A3169" s="4">
        <v>3164</v>
      </c>
      <c r="B3169" s="3" t="str">
        <f>"00294578"</f>
        <v>00294578</v>
      </c>
    </row>
    <row r="3170" spans="1:2" x14ac:dyDescent="0.25">
      <c r="A3170" s="4">
        <v>3165</v>
      </c>
      <c r="B3170" s="3" t="str">
        <f>"00294675"</f>
        <v>00294675</v>
      </c>
    </row>
    <row r="3171" spans="1:2" x14ac:dyDescent="0.25">
      <c r="A3171" s="4">
        <v>3166</v>
      </c>
      <c r="B3171" s="3" t="str">
        <f>"00294730"</f>
        <v>00294730</v>
      </c>
    </row>
    <row r="3172" spans="1:2" x14ac:dyDescent="0.25">
      <c r="A3172" s="4">
        <v>3167</v>
      </c>
      <c r="B3172" s="3" t="str">
        <f>"00294749"</f>
        <v>00294749</v>
      </c>
    </row>
    <row r="3173" spans="1:2" x14ac:dyDescent="0.25">
      <c r="A3173" s="4">
        <v>3168</v>
      </c>
      <c r="B3173" s="3" t="str">
        <f>"00294782"</f>
        <v>00294782</v>
      </c>
    </row>
    <row r="3174" spans="1:2" x14ac:dyDescent="0.25">
      <c r="A3174" s="4">
        <v>3169</v>
      </c>
      <c r="B3174" s="3" t="str">
        <f>"00294820"</f>
        <v>00294820</v>
      </c>
    </row>
    <row r="3175" spans="1:2" x14ac:dyDescent="0.25">
      <c r="A3175" s="4">
        <v>3170</v>
      </c>
      <c r="B3175" s="3" t="str">
        <f>"00294871"</f>
        <v>00294871</v>
      </c>
    </row>
    <row r="3176" spans="1:2" x14ac:dyDescent="0.25">
      <c r="A3176" s="4">
        <v>3171</v>
      </c>
      <c r="B3176" s="3" t="str">
        <f>"00294878"</f>
        <v>00294878</v>
      </c>
    </row>
    <row r="3177" spans="1:2" x14ac:dyDescent="0.25">
      <c r="A3177" s="4">
        <v>3172</v>
      </c>
      <c r="B3177" s="3" t="str">
        <f>"00294966"</f>
        <v>00294966</v>
      </c>
    </row>
    <row r="3178" spans="1:2" x14ac:dyDescent="0.25">
      <c r="A3178" s="4">
        <v>3173</v>
      </c>
      <c r="B3178" s="3" t="str">
        <f>"00294975"</f>
        <v>00294975</v>
      </c>
    </row>
    <row r="3179" spans="1:2" x14ac:dyDescent="0.25">
      <c r="A3179" s="4">
        <v>3174</v>
      </c>
      <c r="B3179" s="3" t="str">
        <f>"00295027"</f>
        <v>00295027</v>
      </c>
    </row>
    <row r="3180" spans="1:2" x14ac:dyDescent="0.25">
      <c r="A3180" s="4">
        <v>3175</v>
      </c>
      <c r="B3180" s="3" t="str">
        <f>"00295042"</f>
        <v>00295042</v>
      </c>
    </row>
    <row r="3181" spans="1:2" x14ac:dyDescent="0.25">
      <c r="A3181" s="4">
        <v>3176</v>
      </c>
      <c r="B3181" s="3" t="str">
        <f>"00295051"</f>
        <v>00295051</v>
      </c>
    </row>
    <row r="3182" spans="1:2" x14ac:dyDescent="0.25">
      <c r="A3182" s="4">
        <v>3177</v>
      </c>
      <c r="B3182" s="3" t="str">
        <f>"00295105"</f>
        <v>00295105</v>
      </c>
    </row>
    <row r="3183" spans="1:2" x14ac:dyDescent="0.25">
      <c r="A3183" s="4">
        <v>3178</v>
      </c>
      <c r="B3183" s="3" t="str">
        <f>"00295168"</f>
        <v>00295168</v>
      </c>
    </row>
    <row r="3184" spans="1:2" x14ac:dyDescent="0.25">
      <c r="A3184" s="4">
        <v>3179</v>
      </c>
      <c r="B3184" s="3" t="str">
        <f>"00295185"</f>
        <v>00295185</v>
      </c>
    </row>
    <row r="3185" spans="1:2" x14ac:dyDescent="0.25">
      <c r="A3185" s="4">
        <v>3180</v>
      </c>
      <c r="B3185" s="3" t="str">
        <f>"00295281"</f>
        <v>00295281</v>
      </c>
    </row>
    <row r="3186" spans="1:2" x14ac:dyDescent="0.25">
      <c r="A3186" s="4">
        <v>3181</v>
      </c>
      <c r="B3186" s="3" t="str">
        <f>"00295333"</f>
        <v>00295333</v>
      </c>
    </row>
    <row r="3187" spans="1:2" x14ac:dyDescent="0.25">
      <c r="A3187" s="4">
        <v>3182</v>
      </c>
      <c r="B3187" s="3" t="str">
        <f>"00295334"</f>
        <v>00295334</v>
      </c>
    </row>
    <row r="3188" spans="1:2" x14ac:dyDescent="0.25">
      <c r="A3188" s="4">
        <v>3183</v>
      </c>
      <c r="B3188" s="3" t="str">
        <f>"00295464"</f>
        <v>00295464</v>
      </c>
    </row>
    <row r="3189" spans="1:2" x14ac:dyDescent="0.25">
      <c r="A3189" s="4">
        <v>3184</v>
      </c>
      <c r="B3189" s="3" t="str">
        <f>"00295545"</f>
        <v>00295545</v>
      </c>
    </row>
    <row r="3190" spans="1:2" x14ac:dyDescent="0.25">
      <c r="A3190" s="4">
        <v>3185</v>
      </c>
      <c r="B3190" s="3" t="str">
        <f>"00295584"</f>
        <v>00295584</v>
      </c>
    </row>
    <row r="3191" spans="1:2" x14ac:dyDescent="0.25">
      <c r="A3191" s="4">
        <v>3186</v>
      </c>
      <c r="B3191" s="3" t="str">
        <f>"00295594"</f>
        <v>00295594</v>
      </c>
    </row>
    <row r="3192" spans="1:2" x14ac:dyDescent="0.25">
      <c r="A3192" s="4">
        <v>3187</v>
      </c>
      <c r="B3192" s="3" t="str">
        <f>"00295847"</f>
        <v>00295847</v>
      </c>
    </row>
    <row r="3193" spans="1:2" x14ac:dyDescent="0.25">
      <c r="A3193" s="4">
        <v>3188</v>
      </c>
      <c r="B3193" s="3" t="str">
        <f>"00295890"</f>
        <v>00295890</v>
      </c>
    </row>
    <row r="3194" spans="1:2" x14ac:dyDescent="0.25">
      <c r="A3194" s="4">
        <v>3189</v>
      </c>
      <c r="B3194" s="3" t="str">
        <f>"00295922"</f>
        <v>00295922</v>
      </c>
    </row>
    <row r="3195" spans="1:2" x14ac:dyDescent="0.25">
      <c r="A3195" s="4">
        <v>3190</v>
      </c>
      <c r="B3195" s="3" t="str">
        <f>"00296337"</f>
        <v>00296337</v>
      </c>
    </row>
    <row r="3196" spans="1:2" x14ac:dyDescent="0.25">
      <c r="A3196" s="4">
        <v>3191</v>
      </c>
      <c r="B3196" s="3" t="str">
        <f>"00296354"</f>
        <v>00296354</v>
      </c>
    </row>
    <row r="3197" spans="1:2" x14ac:dyDescent="0.25">
      <c r="A3197" s="4">
        <v>3192</v>
      </c>
      <c r="B3197" s="3" t="str">
        <f>"00296634"</f>
        <v>00296634</v>
      </c>
    </row>
    <row r="3198" spans="1:2" x14ac:dyDescent="0.25">
      <c r="A3198" s="4">
        <v>3193</v>
      </c>
      <c r="B3198" s="3" t="str">
        <f>"00296735"</f>
        <v>00296735</v>
      </c>
    </row>
    <row r="3199" spans="1:2" x14ac:dyDescent="0.25">
      <c r="A3199" s="4">
        <v>3194</v>
      </c>
      <c r="B3199" s="3" t="str">
        <f>"00296779"</f>
        <v>00296779</v>
      </c>
    </row>
    <row r="3200" spans="1:2" x14ac:dyDescent="0.25">
      <c r="A3200" s="4">
        <v>3195</v>
      </c>
      <c r="B3200" s="3" t="str">
        <f>"00296814"</f>
        <v>00296814</v>
      </c>
    </row>
    <row r="3201" spans="1:2" x14ac:dyDescent="0.25">
      <c r="A3201" s="4">
        <v>3196</v>
      </c>
      <c r="B3201" s="3" t="str">
        <f>"00296972"</f>
        <v>00296972</v>
      </c>
    </row>
    <row r="3202" spans="1:2" x14ac:dyDescent="0.25">
      <c r="A3202" s="4">
        <v>3197</v>
      </c>
      <c r="B3202" s="3" t="str">
        <f>"00297045"</f>
        <v>00297045</v>
      </c>
    </row>
    <row r="3203" spans="1:2" x14ac:dyDescent="0.25">
      <c r="A3203" s="4">
        <v>3198</v>
      </c>
      <c r="B3203" s="3" t="str">
        <f>"00297064"</f>
        <v>00297064</v>
      </c>
    </row>
    <row r="3204" spans="1:2" x14ac:dyDescent="0.25">
      <c r="A3204" s="4">
        <v>3199</v>
      </c>
      <c r="B3204" s="3" t="str">
        <f>"00297200"</f>
        <v>00297200</v>
      </c>
    </row>
    <row r="3205" spans="1:2" x14ac:dyDescent="0.25">
      <c r="A3205" s="4">
        <v>3200</v>
      </c>
      <c r="B3205" s="3" t="str">
        <f>"00297382"</f>
        <v>00297382</v>
      </c>
    </row>
    <row r="3206" spans="1:2" x14ac:dyDescent="0.25">
      <c r="A3206" s="4">
        <v>3201</v>
      </c>
      <c r="B3206" s="3" t="str">
        <f>"00297481"</f>
        <v>00297481</v>
      </c>
    </row>
    <row r="3207" spans="1:2" x14ac:dyDescent="0.25">
      <c r="A3207" s="4">
        <v>3202</v>
      </c>
      <c r="B3207" s="3" t="str">
        <f>"00297552"</f>
        <v>00297552</v>
      </c>
    </row>
    <row r="3208" spans="1:2" x14ac:dyDescent="0.25">
      <c r="A3208" s="4">
        <v>3203</v>
      </c>
      <c r="B3208" s="3" t="str">
        <f>"00297583"</f>
        <v>00297583</v>
      </c>
    </row>
    <row r="3209" spans="1:2" x14ac:dyDescent="0.25">
      <c r="A3209" s="4">
        <v>3204</v>
      </c>
      <c r="B3209" s="3" t="str">
        <f>"00297610"</f>
        <v>00297610</v>
      </c>
    </row>
    <row r="3210" spans="1:2" x14ac:dyDescent="0.25">
      <c r="A3210" s="4">
        <v>3205</v>
      </c>
      <c r="B3210" s="3" t="str">
        <f>"00297739"</f>
        <v>00297739</v>
      </c>
    </row>
    <row r="3211" spans="1:2" x14ac:dyDescent="0.25">
      <c r="A3211" s="4">
        <v>3206</v>
      </c>
      <c r="B3211" s="3" t="str">
        <f>"00297771"</f>
        <v>00297771</v>
      </c>
    </row>
    <row r="3212" spans="1:2" x14ac:dyDescent="0.25">
      <c r="A3212" s="4">
        <v>3207</v>
      </c>
      <c r="B3212" s="3" t="str">
        <f>"00297811"</f>
        <v>00297811</v>
      </c>
    </row>
    <row r="3213" spans="1:2" x14ac:dyDescent="0.25">
      <c r="A3213" s="4">
        <v>3208</v>
      </c>
      <c r="B3213" s="3" t="str">
        <f>"00297886"</f>
        <v>00297886</v>
      </c>
    </row>
    <row r="3214" spans="1:2" x14ac:dyDescent="0.25">
      <c r="A3214" s="4">
        <v>3209</v>
      </c>
      <c r="B3214" s="3" t="str">
        <f>"00297922"</f>
        <v>00297922</v>
      </c>
    </row>
    <row r="3215" spans="1:2" x14ac:dyDescent="0.25">
      <c r="A3215" s="4">
        <v>3210</v>
      </c>
      <c r="B3215" s="3" t="str">
        <f>"00297933"</f>
        <v>00297933</v>
      </c>
    </row>
    <row r="3216" spans="1:2" x14ac:dyDescent="0.25">
      <c r="A3216" s="4">
        <v>3211</v>
      </c>
      <c r="B3216" s="3" t="str">
        <f>"00297986"</f>
        <v>00297986</v>
      </c>
    </row>
    <row r="3217" spans="1:2" x14ac:dyDescent="0.25">
      <c r="A3217" s="4">
        <v>3212</v>
      </c>
      <c r="B3217" s="3" t="str">
        <f>"00298016"</f>
        <v>00298016</v>
      </c>
    </row>
    <row r="3218" spans="1:2" x14ac:dyDescent="0.25">
      <c r="A3218" s="4">
        <v>3213</v>
      </c>
      <c r="B3218" s="3" t="str">
        <f>"00298378"</f>
        <v>00298378</v>
      </c>
    </row>
    <row r="3219" spans="1:2" x14ac:dyDescent="0.25">
      <c r="A3219" s="4">
        <v>3214</v>
      </c>
      <c r="B3219" s="3" t="str">
        <f>"00298507"</f>
        <v>00298507</v>
      </c>
    </row>
    <row r="3220" spans="1:2" x14ac:dyDescent="0.25">
      <c r="A3220" s="4">
        <v>3215</v>
      </c>
      <c r="B3220" s="3" t="str">
        <f>"00298640"</f>
        <v>00298640</v>
      </c>
    </row>
    <row r="3221" spans="1:2" x14ac:dyDescent="0.25">
      <c r="A3221" s="4">
        <v>3216</v>
      </c>
      <c r="B3221" s="3" t="str">
        <f>"00298696"</f>
        <v>00298696</v>
      </c>
    </row>
    <row r="3222" spans="1:2" x14ac:dyDescent="0.25">
      <c r="A3222" s="4">
        <v>3217</v>
      </c>
      <c r="B3222" s="3" t="str">
        <f>"00298769"</f>
        <v>00298769</v>
      </c>
    </row>
    <row r="3223" spans="1:2" x14ac:dyDescent="0.25">
      <c r="A3223" s="4">
        <v>3218</v>
      </c>
      <c r="B3223" s="3" t="str">
        <f>"00298790"</f>
        <v>00298790</v>
      </c>
    </row>
    <row r="3224" spans="1:2" x14ac:dyDescent="0.25">
      <c r="A3224" s="4">
        <v>3219</v>
      </c>
      <c r="B3224" s="3" t="str">
        <f>"00298817"</f>
        <v>00298817</v>
      </c>
    </row>
    <row r="3225" spans="1:2" x14ac:dyDescent="0.25">
      <c r="A3225" s="4">
        <v>3220</v>
      </c>
      <c r="B3225" s="3" t="str">
        <f>"00298853"</f>
        <v>00298853</v>
      </c>
    </row>
    <row r="3226" spans="1:2" x14ac:dyDescent="0.25">
      <c r="A3226" s="4">
        <v>3221</v>
      </c>
      <c r="B3226" s="3" t="str">
        <f>"00299091"</f>
        <v>00299091</v>
      </c>
    </row>
    <row r="3227" spans="1:2" x14ac:dyDescent="0.25">
      <c r="A3227" s="4">
        <v>3222</v>
      </c>
      <c r="B3227" s="3" t="str">
        <f>"00299229"</f>
        <v>00299229</v>
      </c>
    </row>
    <row r="3228" spans="1:2" x14ac:dyDescent="0.25">
      <c r="A3228" s="4">
        <v>3223</v>
      </c>
      <c r="B3228" s="3" t="str">
        <f>"00299461"</f>
        <v>00299461</v>
      </c>
    </row>
    <row r="3229" spans="1:2" x14ac:dyDescent="0.25">
      <c r="A3229" s="4">
        <v>3224</v>
      </c>
      <c r="B3229" s="3" t="str">
        <f>"00299463"</f>
        <v>00299463</v>
      </c>
    </row>
    <row r="3230" spans="1:2" x14ac:dyDescent="0.25">
      <c r="A3230" s="4">
        <v>3225</v>
      </c>
      <c r="B3230" s="3" t="str">
        <f>"00299748"</f>
        <v>00299748</v>
      </c>
    </row>
    <row r="3231" spans="1:2" x14ac:dyDescent="0.25">
      <c r="A3231" s="4">
        <v>3226</v>
      </c>
      <c r="B3231" s="3" t="str">
        <f>"00300091"</f>
        <v>00300091</v>
      </c>
    </row>
    <row r="3232" spans="1:2" x14ac:dyDescent="0.25">
      <c r="A3232" s="4">
        <v>3227</v>
      </c>
      <c r="B3232" s="3" t="str">
        <f>"00300095"</f>
        <v>00300095</v>
      </c>
    </row>
    <row r="3233" spans="1:2" x14ac:dyDescent="0.25">
      <c r="A3233" s="4">
        <v>3228</v>
      </c>
      <c r="B3233" s="3" t="str">
        <f>"00300163"</f>
        <v>00300163</v>
      </c>
    </row>
    <row r="3234" spans="1:2" x14ac:dyDescent="0.25">
      <c r="A3234" s="4">
        <v>3229</v>
      </c>
      <c r="B3234" s="3" t="str">
        <f>"00300287"</f>
        <v>00300287</v>
      </c>
    </row>
    <row r="3235" spans="1:2" x14ac:dyDescent="0.25">
      <c r="A3235" s="4">
        <v>3230</v>
      </c>
      <c r="B3235" s="3" t="str">
        <f>"00300291"</f>
        <v>00300291</v>
      </c>
    </row>
    <row r="3236" spans="1:2" x14ac:dyDescent="0.25">
      <c r="A3236" s="4">
        <v>3231</v>
      </c>
      <c r="B3236" s="3" t="str">
        <f>"00300309"</f>
        <v>00300309</v>
      </c>
    </row>
    <row r="3237" spans="1:2" x14ac:dyDescent="0.25">
      <c r="A3237" s="4">
        <v>3232</v>
      </c>
      <c r="B3237" s="3" t="str">
        <f>"00300372"</f>
        <v>00300372</v>
      </c>
    </row>
    <row r="3238" spans="1:2" x14ac:dyDescent="0.25">
      <c r="A3238" s="4">
        <v>3233</v>
      </c>
      <c r="B3238" s="3" t="str">
        <f>"00300400"</f>
        <v>00300400</v>
      </c>
    </row>
    <row r="3239" spans="1:2" x14ac:dyDescent="0.25">
      <c r="A3239" s="4">
        <v>3234</v>
      </c>
      <c r="B3239" s="3" t="str">
        <f>"00300465"</f>
        <v>00300465</v>
      </c>
    </row>
    <row r="3240" spans="1:2" x14ac:dyDescent="0.25">
      <c r="A3240" s="4">
        <v>3235</v>
      </c>
      <c r="B3240" s="3" t="str">
        <f>"00300471"</f>
        <v>00300471</v>
      </c>
    </row>
    <row r="3241" spans="1:2" x14ac:dyDescent="0.25">
      <c r="A3241" s="4">
        <v>3236</v>
      </c>
      <c r="B3241" s="3" t="str">
        <f>"00300615"</f>
        <v>00300615</v>
      </c>
    </row>
    <row r="3242" spans="1:2" x14ac:dyDescent="0.25">
      <c r="A3242" s="4">
        <v>3237</v>
      </c>
      <c r="B3242" s="3" t="str">
        <f>"00300644"</f>
        <v>00300644</v>
      </c>
    </row>
    <row r="3243" spans="1:2" x14ac:dyDescent="0.25">
      <c r="A3243" s="4">
        <v>3238</v>
      </c>
      <c r="B3243" s="3" t="str">
        <f>"00300651"</f>
        <v>00300651</v>
      </c>
    </row>
    <row r="3244" spans="1:2" x14ac:dyDescent="0.25">
      <c r="A3244" s="4">
        <v>3239</v>
      </c>
      <c r="B3244" s="3" t="str">
        <f>"00300704"</f>
        <v>00300704</v>
      </c>
    </row>
    <row r="3245" spans="1:2" x14ac:dyDescent="0.25">
      <c r="A3245" s="4">
        <v>3240</v>
      </c>
      <c r="B3245" s="3" t="str">
        <f>"00300868"</f>
        <v>00300868</v>
      </c>
    </row>
    <row r="3246" spans="1:2" x14ac:dyDescent="0.25">
      <c r="A3246" s="4">
        <v>3241</v>
      </c>
      <c r="B3246" s="3" t="str">
        <f>"00300879"</f>
        <v>00300879</v>
      </c>
    </row>
    <row r="3247" spans="1:2" x14ac:dyDescent="0.25">
      <c r="A3247" s="4">
        <v>3242</v>
      </c>
      <c r="B3247" s="3" t="str">
        <f>"00300962"</f>
        <v>00300962</v>
      </c>
    </row>
    <row r="3248" spans="1:2" x14ac:dyDescent="0.25">
      <c r="A3248" s="4">
        <v>3243</v>
      </c>
      <c r="B3248" s="3" t="str">
        <f>"00300977"</f>
        <v>00300977</v>
      </c>
    </row>
    <row r="3249" spans="1:2" x14ac:dyDescent="0.25">
      <c r="A3249" s="4">
        <v>3244</v>
      </c>
      <c r="B3249" s="3" t="str">
        <f>"00300997"</f>
        <v>00300997</v>
      </c>
    </row>
    <row r="3250" spans="1:2" x14ac:dyDescent="0.25">
      <c r="A3250" s="4">
        <v>3245</v>
      </c>
      <c r="B3250" s="3" t="str">
        <f>"00301018"</f>
        <v>00301018</v>
      </c>
    </row>
    <row r="3251" spans="1:2" x14ac:dyDescent="0.25">
      <c r="A3251" s="4">
        <v>3246</v>
      </c>
      <c r="B3251" s="3" t="str">
        <f>"00301210"</f>
        <v>00301210</v>
      </c>
    </row>
    <row r="3252" spans="1:2" x14ac:dyDescent="0.25">
      <c r="A3252" s="4">
        <v>3247</v>
      </c>
      <c r="B3252" s="3" t="str">
        <f>"00301218"</f>
        <v>00301218</v>
      </c>
    </row>
    <row r="3253" spans="1:2" x14ac:dyDescent="0.25">
      <c r="A3253" s="4">
        <v>3248</v>
      </c>
      <c r="B3253" s="3" t="str">
        <f>"00301409"</f>
        <v>00301409</v>
      </c>
    </row>
    <row r="3254" spans="1:2" x14ac:dyDescent="0.25">
      <c r="A3254" s="4">
        <v>3249</v>
      </c>
      <c r="B3254" s="3" t="str">
        <f>"00301475"</f>
        <v>00301475</v>
      </c>
    </row>
    <row r="3255" spans="1:2" x14ac:dyDescent="0.25">
      <c r="A3255" s="4">
        <v>3250</v>
      </c>
      <c r="B3255" s="3" t="str">
        <f>"00301526"</f>
        <v>00301526</v>
      </c>
    </row>
    <row r="3256" spans="1:2" x14ac:dyDescent="0.25">
      <c r="A3256" s="4">
        <v>3251</v>
      </c>
      <c r="B3256" s="3" t="str">
        <f>"00301642"</f>
        <v>00301642</v>
      </c>
    </row>
    <row r="3257" spans="1:2" x14ac:dyDescent="0.25">
      <c r="A3257" s="4">
        <v>3252</v>
      </c>
      <c r="B3257" s="3" t="str">
        <f>"00301846"</f>
        <v>00301846</v>
      </c>
    </row>
    <row r="3258" spans="1:2" x14ac:dyDescent="0.25">
      <c r="A3258" s="4">
        <v>3253</v>
      </c>
      <c r="B3258" s="3" t="str">
        <f>"00302212"</f>
        <v>00302212</v>
      </c>
    </row>
    <row r="3259" spans="1:2" x14ac:dyDescent="0.25">
      <c r="A3259" s="4">
        <v>3254</v>
      </c>
      <c r="B3259" s="3" t="str">
        <f>"00302570"</f>
        <v>00302570</v>
      </c>
    </row>
    <row r="3260" spans="1:2" x14ac:dyDescent="0.25">
      <c r="A3260" s="4">
        <v>3255</v>
      </c>
      <c r="B3260" s="3" t="str">
        <f>"00302645"</f>
        <v>00302645</v>
      </c>
    </row>
    <row r="3261" spans="1:2" x14ac:dyDescent="0.25">
      <c r="A3261" s="4">
        <v>3256</v>
      </c>
      <c r="B3261" s="3" t="str">
        <f>"00302737"</f>
        <v>00302737</v>
      </c>
    </row>
    <row r="3262" spans="1:2" x14ac:dyDescent="0.25">
      <c r="A3262" s="4">
        <v>3257</v>
      </c>
      <c r="B3262" s="3" t="str">
        <f>"00302773"</f>
        <v>00302773</v>
      </c>
    </row>
    <row r="3263" spans="1:2" x14ac:dyDescent="0.25">
      <c r="A3263" s="4">
        <v>3258</v>
      </c>
      <c r="B3263" s="3" t="str">
        <f>"00302973"</f>
        <v>00302973</v>
      </c>
    </row>
    <row r="3264" spans="1:2" x14ac:dyDescent="0.25">
      <c r="A3264" s="4">
        <v>3259</v>
      </c>
      <c r="B3264" s="3" t="str">
        <f>"00303270"</f>
        <v>00303270</v>
      </c>
    </row>
    <row r="3265" spans="1:2" x14ac:dyDescent="0.25">
      <c r="A3265" s="4">
        <v>3260</v>
      </c>
      <c r="B3265" s="3" t="str">
        <f>"00303289"</f>
        <v>00303289</v>
      </c>
    </row>
    <row r="3266" spans="1:2" x14ac:dyDescent="0.25">
      <c r="A3266" s="4">
        <v>3261</v>
      </c>
      <c r="B3266" s="3" t="str">
        <f>"00303430"</f>
        <v>00303430</v>
      </c>
    </row>
    <row r="3267" spans="1:2" x14ac:dyDescent="0.25">
      <c r="A3267" s="4">
        <v>3262</v>
      </c>
      <c r="B3267" s="3" t="str">
        <f>"00303872"</f>
        <v>00303872</v>
      </c>
    </row>
    <row r="3268" spans="1:2" x14ac:dyDescent="0.25">
      <c r="A3268" s="4">
        <v>3263</v>
      </c>
      <c r="B3268" s="3" t="str">
        <f>"00304020"</f>
        <v>00304020</v>
      </c>
    </row>
    <row r="3269" spans="1:2" x14ac:dyDescent="0.25">
      <c r="A3269" s="4">
        <v>3264</v>
      </c>
      <c r="B3269" s="3" t="str">
        <f>"00304089"</f>
        <v>00304089</v>
      </c>
    </row>
    <row r="3270" spans="1:2" x14ac:dyDescent="0.25">
      <c r="A3270" s="4">
        <v>3265</v>
      </c>
      <c r="B3270" s="3" t="str">
        <f>"00304134"</f>
        <v>00304134</v>
      </c>
    </row>
    <row r="3271" spans="1:2" x14ac:dyDescent="0.25">
      <c r="A3271" s="4">
        <v>3266</v>
      </c>
      <c r="B3271" s="3" t="str">
        <f>"00304526"</f>
        <v>00304526</v>
      </c>
    </row>
    <row r="3272" spans="1:2" x14ac:dyDescent="0.25">
      <c r="A3272" s="4">
        <v>3267</v>
      </c>
      <c r="B3272" s="3" t="str">
        <f>"00304778"</f>
        <v>00304778</v>
      </c>
    </row>
    <row r="3273" spans="1:2" x14ac:dyDescent="0.25">
      <c r="A3273" s="4">
        <v>3268</v>
      </c>
      <c r="B3273" s="3" t="str">
        <f>"00304945"</f>
        <v>00304945</v>
      </c>
    </row>
    <row r="3274" spans="1:2" x14ac:dyDescent="0.25">
      <c r="A3274" s="4">
        <v>3269</v>
      </c>
      <c r="B3274" s="3" t="str">
        <f>"00304991"</f>
        <v>00304991</v>
      </c>
    </row>
    <row r="3275" spans="1:2" x14ac:dyDescent="0.25">
      <c r="A3275" s="4">
        <v>3270</v>
      </c>
      <c r="B3275" s="3" t="str">
        <f>"00305054"</f>
        <v>00305054</v>
      </c>
    </row>
    <row r="3276" spans="1:2" x14ac:dyDescent="0.25">
      <c r="A3276" s="4">
        <v>3271</v>
      </c>
      <c r="B3276" s="3" t="str">
        <f>"00305119"</f>
        <v>00305119</v>
      </c>
    </row>
    <row r="3277" spans="1:2" x14ac:dyDescent="0.25">
      <c r="A3277" s="4">
        <v>3272</v>
      </c>
      <c r="B3277" s="3" t="str">
        <f>"00305190"</f>
        <v>00305190</v>
      </c>
    </row>
    <row r="3278" spans="1:2" x14ac:dyDescent="0.25">
      <c r="A3278" s="4">
        <v>3273</v>
      </c>
      <c r="B3278" s="3" t="str">
        <f>"00305252"</f>
        <v>00305252</v>
      </c>
    </row>
    <row r="3279" spans="1:2" x14ac:dyDescent="0.25">
      <c r="A3279" s="4">
        <v>3274</v>
      </c>
      <c r="B3279" s="3" t="str">
        <f>"00305295"</f>
        <v>00305295</v>
      </c>
    </row>
    <row r="3280" spans="1:2" x14ac:dyDescent="0.25">
      <c r="A3280" s="4">
        <v>3275</v>
      </c>
      <c r="B3280" s="3" t="str">
        <f>"00305331"</f>
        <v>00305331</v>
      </c>
    </row>
    <row r="3281" spans="1:2" x14ac:dyDescent="0.25">
      <c r="A3281" s="4">
        <v>3276</v>
      </c>
      <c r="B3281" s="3" t="str">
        <f>"00305380"</f>
        <v>00305380</v>
      </c>
    </row>
    <row r="3282" spans="1:2" x14ac:dyDescent="0.25">
      <c r="A3282" s="4">
        <v>3277</v>
      </c>
      <c r="B3282" s="3" t="str">
        <f>"00305412"</f>
        <v>00305412</v>
      </c>
    </row>
    <row r="3283" spans="1:2" x14ac:dyDescent="0.25">
      <c r="A3283" s="4">
        <v>3278</v>
      </c>
      <c r="B3283" s="3" t="str">
        <f>"00305416"</f>
        <v>00305416</v>
      </c>
    </row>
    <row r="3284" spans="1:2" x14ac:dyDescent="0.25">
      <c r="A3284" s="4">
        <v>3279</v>
      </c>
      <c r="B3284" s="3" t="str">
        <f>"00305562"</f>
        <v>00305562</v>
      </c>
    </row>
    <row r="3285" spans="1:2" x14ac:dyDescent="0.25">
      <c r="A3285" s="4">
        <v>3280</v>
      </c>
      <c r="B3285" s="3" t="str">
        <f>"00305692"</f>
        <v>00305692</v>
      </c>
    </row>
    <row r="3286" spans="1:2" x14ac:dyDescent="0.25">
      <c r="A3286" s="4">
        <v>3281</v>
      </c>
      <c r="B3286" s="3" t="str">
        <f>"00305812"</f>
        <v>00305812</v>
      </c>
    </row>
    <row r="3287" spans="1:2" x14ac:dyDescent="0.25">
      <c r="A3287" s="4">
        <v>3282</v>
      </c>
      <c r="B3287" s="3" t="str">
        <f>"00305836"</f>
        <v>00305836</v>
      </c>
    </row>
    <row r="3288" spans="1:2" x14ac:dyDescent="0.25">
      <c r="A3288" s="4">
        <v>3283</v>
      </c>
      <c r="B3288" s="3" t="str">
        <f>"00305861"</f>
        <v>00305861</v>
      </c>
    </row>
    <row r="3289" spans="1:2" x14ac:dyDescent="0.25">
      <c r="A3289" s="4">
        <v>3284</v>
      </c>
      <c r="B3289" s="3" t="str">
        <f>"00305896"</f>
        <v>00305896</v>
      </c>
    </row>
    <row r="3290" spans="1:2" x14ac:dyDescent="0.25">
      <c r="A3290" s="4">
        <v>3285</v>
      </c>
      <c r="B3290" s="3" t="str">
        <f>"00306080"</f>
        <v>00306080</v>
      </c>
    </row>
    <row r="3291" spans="1:2" x14ac:dyDescent="0.25">
      <c r="A3291" s="4">
        <v>3286</v>
      </c>
      <c r="B3291" s="3" t="str">
        <f>"00306155"</f>
        <v>00306155</v>
      </c>
    </row>
    <row r="3292" spans="1:2" x14ac:dyDescent="0.25">
      <c r="A3292" s="4">
        <v>3287</v>
      </c>
      <c r="B3292" s="3" t="str">
        <f>"00306527"</f>
        <v>00306527</v>
      </c>
    </row>
    <row r="3293" spans="1:2" x14ac:dyDescent="0.25">
      <c r="A3293" s="4">
        <v>3288</v>
      </c>
      <c r="B3293" s="3" t="str">
        <f>"00306587"</f>
        <v>00306587</v>
      </c>
    </row>
    <row r="3294" spans="1:2" x14ac:dyDescent="0.25">
      <c r="A3294" s="4">
        <v>3289</v>
      </c>
      <c r="B3294" s="3" t="str">
        <f>"00306666"</f>
        <v>00306666</v>
      </c>
    </row>
    <row r="3295" spans="1:2" x14ac:dyDescent="0.25">
      <c r="A3295" s="4">
        <v>3290</v>
      </c>
      <c r="B3295" s="3" t="str">
        <f>"00306720"</f>
        <v>00306720</v>
      </c>
    </row>
    <row r="3296" spans="1:2" x14ac:dyDescent="0.25">
      <c r="A3296" s="4">
        <v>3291</v>
      </c>
      <c r="B3296" s="3" t="str">
        <f>"00306745"</f>
        <v>00306745</v>
      </c>
    </row>
    <row r="3297" spans="1:2" x14ac:dyDescent="0.25">
      <c r="A3297" s="4">
        <v>3292</v>
      </c>
      <c r="B3297" s="3" t="str">
        <f>"00306874"</f>
        <v>00306874</v>
      </c>
    </row>
    <row r="3298" spans="1:2" x14ac:dyDescent="0.25">
      <c r="A3298" s="4">
        <v>3293</v>
      </c>
      <c r="B3298" s="3" t="str">
        <f>"00306930"</f>
        <v>00306930</v>
      </c>
    </row>
    <row r="3299" spans="1:2" x14ac:dyDescent="0.25">
      <c r="A3299" s="4">
        <v>3294</v>
      </c>
      <c r="B3299" s="3" t="str">
        <f>"00307007"</f>
        <v>00307007</v>
      </c>
    </row>
    <row r="3300" spans="1:2" x14ac:dyDescent="0.25">
      <c r="A3300" s="4">
        <v>3295</v>
      </c>
      <c r="B3300" s="3" t="str">
        <f>"00307047"</f>
        <v>00307047</v>
      </c>
    </row>
    <row r="3301" spans="1:2" x14ac:dyDescent="0.25">
      <c r="A3301" s="4">
        <v>3296</v>
      </c>
      <c r="B3301" s="3" t="str">
        <f>"00307405"</f>
        <v>00307405</v>
      </c>
    </row>
    <row r="3302" spans="1:2" x14ac:dyDescent="0.25">
      <c r="A3302" s="4">
        <v>3297</v>
      </c>
      <c r="B3302" s="3" t="str">
        <f>"00307418"</f>
        <v>00307418</v>
      </c>
    </row>
    <row r="3303" spans="1:2" x14ac:dyDescent="0.25">
      <c r="A3303" s="4">
        <v>3298</v>
      </c>
      <c r="B3303" s="3" t="str">
        <f>"00307509"</f>
        <v>00307509</v>
      </c>
    </row>
    <row r="3304" spans="1:2" x14ac:dyDescent="0.25">
      <c r="A3304" s="4">
        <v>3299</v>
      </c>
      <c r="B3304" s="3" t="str">
        <f>"00307566"</f>
        <v>00307566</v>
      </c>
    </row>
    <row r="3305" spans="1:2" x14ac:dyDescent="0.25">
      <c r="A3305" s="4">
        <v>3300</v>
      </c>
      <c r="B3305" s="3" t="str">
        <f>"00307652"</f>
        <v>00307652</v>
      </c>
    </row>
    <row r="3306" spans="1:2" x14ac:dyDescent="0.25">
      <c r="A3306" s="4">
        <v>3301</v>
      </c>
      <c r="B3306" s="3" t="str">
        <f>"00307754"</f>
        <v>00307754</v>
      </c>
    </row>
    <row r="3307" spans="1:2" x14ac:dyDescent="0.25">
      <c r="A3307" s="4">
        <v>3302</v>
      </c>
      <c r="B3307" s="3" t="str">
        <f>"00307777"</f>
        <v>00307777</v>
      </c>
    </row>
    <row r="3308" spans="1:2" x14ac:dyDescent="0.25">
      <c r="A3308" s="4">
        <v>3303</v>
      </c>
      <c r="B3308" s="3" t="str">
        <f>"00307808"</f>
        <v>00307808</v>
      </c>
    </row>
    <row r="3309" spans="1:2" x14ac:dyDescent="0.25">
      <c r="A3309" s="4">
        <v>3304</v>
      </c>
      <c r="B3309" s="3" t="str">
        <f>"00307875"</f>
        <v>00307875</v>
      </c>
    </row>
    <row r="3310" spans="1:2" x14ac:dyDescent="0.25">
      <c r="A3310" s="4">
        <v>3305</v>
      </c>
      <c r="B3310" s="3" t="str">
        <f>"00307951"</f>
        <v>00307951</v>
      </c>
    </row>
    <row r="3311" spans="1:2" x14ac:dyDescent="0.25">
      <c r="A3311" s="4">
        <v>3306</v>
      </c>
      <c r="B3311" s="3" t="str">
        <f>"00308028"</f>
        <v>00308028</v>
      </c>
    </row>
    <row r="3312" spans="1:2" x14ac:dyDescent="0.25">
      <c r="A3312" s="4">
        <v>3307</v>
      </c>
      <c r="B3312" s="3" t="str">
        <f>"00308088"</f>
        <v>00308088</v>
      </c>
    </row>
    <row r="3313" spans="1:2" x14ac:dyDescent="0.25">
      <c r="A3313" s="4">
        <v>3308</v>
      </c>
      <c r="B3313" s="3" t="str">
        <f>"00308106"</f>
        <v>00308106</v>
      </c>
    </row>
    <row r="3314" spans="1:2" x14ac:dyDescent="0.25">
      <c r="A3314" s="4">
        <v>3309</v>
      </c>
      <c r="B3314" s="3" t="str">
        <f>"00308384"</f>
        <v>00308384</v>
      </c>
    </row>
    <row r="3315" spans="1:2" x14ac:dyDescent="0.25">
      <c r="A3315" s="4">
        <v>3310</v>
      </c>
      <c r="B3315" s="3" t="str">
        <f>"00308417"</f>
        <v>00308417</v>
      </c>
    </row>
    <row r="3316" spans="1:2" x14ac:dyDescent="0.25">
      <c r="A3316" s="4">
        <v>3311</v>
      </c>
      <c r="B3316" s="3" t="str">
        <f>"00308446"</f>
        <v>00308446</v>
      </c>
    </row>
    <row r="3317" spans="1:2" x14ac:dyDescent="0.25">
      <c r="A3317" s="4">
        <v>3312</v>
      </c>
      <c r="B3317" s="3" t="str">
        <f>"00308462"</f>
        <v>00308462</v>
      </c>
    </row>
    <row r="3318" spans="1:2" x14ac:dyDescent="0.25">
      <c r="A3318" s="4">
        <v>3313</v>
      </c>
      <c r="B3318" s="3" t="str">
        <f>"00308544"</f>
        <v>00308544</v>
      </c>
    </row>
    <row r="3319" spans="1:2" x14ac:dyDescent="0.25">
      <c r="A3319" s="4">
        <v>3314</v>
      </c>
      <c r="B3319" s="3" t="str">
        <f>"00308724"</f>
        <v>00308724</v>
      </c>
    </row>
    <row r="3320" spans="1:2" x14ac:dyDescent="0.25">
      <c r="A3320" s="4">
        <v>3315</v>
      </c>
      <c r="B3320" s="3" t="str">
        <f>"00308732"</f>
        <v>00308732</v>
      </c>
    </row>
    <row r="3321" spans="1:2" x14ac:dyDescent="0.25">
      <c r="A3321" s="4">
        <v>3316</v>
      </c>
      <c r="B3321" s="3" t="str">
        <f>"00308810"</f>
        <v>00308810</v>
      </c>
    </row>
    <row r="3322" spans="1:2" x14ac:dyDescent="0.25">
      <c r="A3322" s="4">
        <v>3317</v>
      </c>
      <c r="B3322" s="3" t="str">
        <f>"00308837"</f>
        <v>00308837</v>
      </c>
    </row>
    <row r="3323" spans="1:2" x14ac:dyDescent="0.25">
      <c r="A3323" s="4">
        <v>3318</v>
      </c>
      <c r="B3323" s="3" t="str">
        <f>"00308875"</f>
        <v>00308875</v>
      </c>
    </row>
    <row r="3324" spans="1:2" x14ac:dyDescent="0.25">
      <c r="A3324" s="4">
        <v>3319</v>
      </c>
      <c r="B3324" s="3" t="str">
        <f>"00308891"</f>
        <v>00308891</v>
      </c>
    </row>
    <row r="3325" spans="1:2" x14ac:dyDescent="0.25">
      <c r="A3325" s="4">
        <v>3320</v>
      </c>
      <c r="B3325" s="3" t="str">
        <f>"00309021"</f>
        <v>00309021</v>
      </c>
    </row>
    <row r="3326" spans="1:2" x14ac:dyDescent="0.25">
      <c r="A3326" s="4">
        <v>3321</v>
      </c>
      <c r="B3326" s="3" t="str">
        <f>"00309063"</f>
        <v>00309063</v>
      </c>
    </row>
    <row r="3327" spans="1:2" x14ac:dyDescent="0.25">
      <c r="A3327" s="4">
        <v>3322</v>
      </c>
      <c r="B3327" s="3" t="str">
        <f>"00309192"</f>
        <v>00309192</v>
      </c>
    </row>
    <row r="3328" spans="1:2" x14ac:dyDescent="0.25">
      <c r="A3328" s="4">
        <v>3323</v>
      </c>
      <c r="B3328" s="3" t="str">
        <f>"00309232"</f>
        <v>00309232</v>
      </c>
    </row>
    <row r="3329" spans="1:2" x14ac:dyDescent="0.25">
      <c r="A3329" s="4">
        <v>3324</v>
      </c>
      <c r="B3329" s="3" t="str">
        <f>"00309270"</f>
        <v>00309270</v>
      </c>
    </row>
    <row r="3330" spans="1:2" x14ac:dyDescent="0.25">
      <c r="A3330" s="4">
        <v>3325</v>
      </c>
      <c r="B3330" s="3" t="str">
        <f>"00309386"</f>
        <v>00309386</v>
      </c>
    </row>
    <row r="3331" spans="1:2" x14ac:dyDescent="0.25">
      <c r="A3331" s="4">
        <v>3326</v>
      </c>
      <c r="B3331" s="3" t="str">
        <f>"00309721"</f>
        <v>00309721</v>
      </c>
    </row>
    <row r="3332" spans="1:2" x14ac:dyDescent="0.25">
      <c r="A3332" s="4">
        <v>3327</v>
      </c>
      <c r="B3332" s="3" t="str">
        <f>"00309790"</f>
        <v>00309790</v>
      </c>
    </row>
    <row r="3333" spans="1:2" x14ac:dyDescent="0.25">
      <c r="A3333" s="4">
        <v>3328</v>
      </c>
      <c r="B3333" s="3" t="str">
        <f>"00309984"</f>
        <v>00309984</v>
      </c>
    </row>
    <row r="3334" spans="1:2" x14ac:dyDescent="0.25">
      <c r="A3334" s="4">
        <v>3329</v>
      </c>
      <c r="B3334" s="3" t="str">
        <f>"00310108"</f>
        <v>00310108</v>
      </c>
    </row>
    <row r="3335" spans="1:2" x14ac:dyDescent="0.25">
      <c r="A3335" s="4">
        <v>3330</v>
      </c>
      <c r="B3335" s="3" t="str">
        <f>"00310326"</f>
        <v>00310326</v>
      </c>
    </row>
    <row r="3336" spans="1:2" x14ac:dyDescent="0.25">
      <c r="A3336" s="4">
        <v>3331</v>
      </c>
      <c r="B3336" s="3" t="str">
        <f>"00310402"</f>
        <v>00310402</v>
      </c>
    </row>
    <row r="3337" spans="1:2" x14ac:dyDescent="0.25">
      <c r="A3337" s="4">
        <v>3332</v>
      </c>
      <c r="B3337" s="3" t="str">
        <f>"00310459"</f>
        <v>00310459</v>
      </c>
    </row>
    <row r="3338" spans="1:2" x14ac:dyDescent="0.25">
      <c r="A3338" s="4">
        <v>3333</v>
      </c>
      <c r="B3338" s="3" t="str">
        <f>"00310479"</f>
        <v>00310479</v>
      </c>
    </row>
    <row r="3339" spans="1:2" x14ac:dyDescent="0.25">
      <c r="A3339" s="4">
        <v>3334</v>
      </c>
      <c r="B3339" s="3" t="str">
        <f>"00310489"</f>
        <v>00310489</v>
      </c>
    </row>
    <row r="3340" spans="1:2" x14ac:dyDescent="0.25">
      <c r="A3340" s="4">
        <v>3335</v>
      </c>
      <c r="B3340" s="3" t="str">
        <f>"00310611"</f>
        <v>00310611</v>
      </c>
    </row>
    <row r="3341" spans="1:2" x14ac:dyDescent="0.25">
      <c r="A3341" s="4">
        <v>3336</v>
      </c>
      <c r="B3341" s="3" t="str">
        <f>"00310614"</f>
        <v>00310614</v>
      </c>
    </row>
    <row r="3342" spans="1:2" x14ac:dyDescent="0.25">
      <c r="A3342" s="4">
        <v>3337</v>
      </c>
      <c r="B3342" s="3" t="str">
        <f>"00310667"</f>
        <v>00310667</v>
      </c>
    </row>
    <row r="3343" spans="1:2" x14ac:dyDescent="0.25">
      <c r="A3343" s="4">
        <v>3338</v>
      </c>
      <c r="B3343" s="3" t="str">
        <f>"00310687"</f>
        <v>00310687</v>
      </c>
    </row>
    <row r="3344" spans="1:2" x14ac:dyDescent="0.25">
      <c r="A3344" s="4">
        <v>3339</v>
      </c>
      <c r="B3344" s="3" t="str">
        <f>"00310695"</f>
        <v>00310695</v>
      </c>
    </row>
    <row r="3345" spans="1:2" x14ac:dyDescent="0.25">
      <c r="A3345" s="4">
        <v>3340</v>
      </c>
      <c r="B3345" s="3" t="str">
        <f>"00310747"</f>
        <v>00310747</v>
      </c>
    </row>
    <row r="3346" spans="1:2" x14ac:dyDescent="0.25">
      <c r="A3346" s="4">
        <v>3341</v>
      </c>
      <c r="B3346" s="3" t="str">
        <f>"00310828"</f>
        <v>00310828</v>
      </c>
    </row>
    <row r="3347" spans="1:2" x14ac:dyDescent="0.25">
      <c r="A3347" s="4">
        <v>3342</v>
      </c>
      <c r="B3347" s="3" t="str">
        <f>"00310898"</f>
        <v>00310898</v>
      </c>
    </row>
    <row r="3348" spans="1:2" x14ac:dyDescent="0.25">
      <c r="A3348" s="4">
        <v>3343</v>
      </c>
      <c r="B3348" s="3" t="str">
        <f>"00310932"</f>
        <v>00310932</v>
      </c>
    </row>
    <row r="3349" spans="1:2" x14ac:dyDescent="0.25">
      <c r="A3349" s="4">
        <v>3344</v>
      </c>
      <c r="B3349" s="3" t="str">
        <f>"00311088"</f>
        <v>00311088</v>
      </c>
    </row>
    <row r="3350" spans="1:2" x14ac:dyDescent="0.25">
      <c r="A3350" s="4">
        <v>3345</v>
      </c>
      <c r="B3350" s="3" t="str">
        <f>"00311111"</f>
        <v>00311111</v>
      </c>
    </row>
    <row r="3351" spans="1:2" x14ac:dyDescent="0.25">
      <c r="A3351" s="4">
        <v>3346</v>
      </c>
      <c r="B3351" s="3" t="str">
        <f>"00311408"</f>
        <v>00311408</v>
      </c>
    </row>
    <row r="3352" spans="1:2" x14ac:dyDescent="0.25">
      <c r="A3352" s="4">
        <v>3347</v>
      </c>
      <c r="B3352" s="3" t="str">
        <f>"00311414"</f>
        <v>00311414</v>
      </c>
    </row>
    <row r="3353" spans="1:2" x14ac:dyDescent="0.25">
      <c r="A3353" s="4">
        <v>3348</v>
      </c>
      <c r="B3353" s="3" t="str">
        <f>"00311415"</f>
        <v>00311415</v>
      </c>
    </row>
    <row r="3354" spans="1:2" x14ac:dyDescent="0.25">
      <c r="A3354" s="4">
        <v>3349</v>
      </c>
      <c r="B3354" s="3" t="str">
        <f>"00311485"</f>
        <v>00311485</v>
      </c>
    </row>
    <row r="3355" spans="1:2" x14ac:dyDescent="0.25">
      <c r="A3355" s="4">
        <v>3350</v>
      </c>
      <c r="B3355" s="3" t="str">
        <f>"00311541"</f>
        <v>00311541</v>
      </c>
    </row>
    <row r="3356" spans="1:2" x14ac:dyDescent="0.25">
      <c r="A3356" s="4">
        <v>3351</v>
      </c>
      <c r="B3356" s="3" t="str">
        <f>"00311664"</f>
        <v>00311664</v>
      </c>
    </row>
    <row r="3357" spans="1:2" x14ac:dyDescent="0.25">
      <c r="A3357" s="4">
        <v>3352</v>
      </c>
      <c r="B3357" s="3" t="str">
        <f>"00311833"</f>
        <v>00311833</v>
      </c>
    </row>
    <row r="3358" spans="1:2" x14ac:dyDescent="0.25">
      <c r="A3358" s="4">
        <v>3353</v>
      </c>
      <c r="B3358" s="3" t="str">
        <f>"00311834"</f>
        <v>00311834</v>
      </c>
    </row>
    <row r="3359" spans="1:2" x14ac:dyDescent="0.25">
      <c r="A3359" s="4">
        <v>3354</v>
      </c>
      <c r="B3359" s="3" t="str">
        <f>"00311920"</f>
        <v>00311920</v>
      </c>
    </row>
    <row r="3360" spans="1:2" x14ac:dyDescent="0.25">
      <c r="A3360" s="4">
        <v>3355</v>
      </c>
      <c r="B3360" s="3" t="str">
        <f>"00311942"</f>
        <v>00311942</v>
      </c>
    </row>
    <row r="3361" spans="1:2" x14ac:dyDescent="0.25">
      <c r="A3361" s="4">
        <v>3356</v>
      </c>
      <c r="B3361" s="3" t="str">
        <f>"00312000"</f>
        <v>00312000</v>
      </c>
    </row>
    <row r="3362" spans="1:2" x14ac:dyDescent="0.25">
      <c r="A3362" s="4">
        <v>3357</v>
      </c>
      <c r="B3362" s="3" t="str">
        <f>"00312153"</f>
        <v>00312153</v>
      </c>
    </row>
    <row r="3363" spans="1:2" x14ac:dyDescent="0.25">
      <c r="A3363" s="4">
        <v>3358</v>
      </c>
      <c r="B3363" s="3" t="str">
        <f>"00312195"</f>
        <v>00312195</v>
      </c>
    </row>
    <row r="3364" spans="1:2" x14ac:dyDescent="0.25">
      <c r="A3364" s="4">
        <v>3359</v>
      </c>
      <c r="B3364" s="3" t="str">
        <f>"00312208"</f>
        <v>00312208</v>
      </c>
    </row>
    <row r="3365" spans="1:2" x14ac:dyDescent="0.25">
      <c r="A3365" s="4">
        <v>3360</v>
      </c>
      <c r="B3365" s="3" t="str">
        <f>"00312245"</f>
        <v>00312245</v>
      </c>
    </row>
    <row r="3366" spans="1:2" x14ac:dyDescent="0.25">
      <c r="A3366" s="4">
        <v>3361</v>
      </c>
      <c r="B3366" s="3" t="str">
        <f>"00312270"</f>
        <v>00312270</v>
      </c>
    </row>
    <row r="3367" spans="1:2" x14ac:dyDescent="0.25">
      <c r="A3367" s="4">
        <v>3362</v>
      </c>
      <c r="B3367" s="3" t="str">
        <f>"00312332"</f>
        <v>00312332</v>
      </c>
    </row>
    <row r="3368" spans="1:2" x14ac:dyDescent="0.25">
      <c r="A3368" s="4">
        <v>3363</v>
      </c>
      <c r="B3368" s="3" t="str">
        <f>"00312420"</f>
        <v>00312420</v>
      </c>
    </row>
    <row r="3369" spans="1:2" x14ac:dyDescent="0.25">
      <c r="A3369" s="4">
        <v>3364</v>
      </c>
      <c r="B3369" s="3" t="str">
        <f>"00312536"</f>
        <v>00312536</v>
      </c>
    </row>
    <row r="3370" spans="1:2" x14ac:dyDescent="0.25">
      <c r="A3370" s="4">
        <v>3365</v>
      </c>
      <c r="B3370" s="3" t="str">
        <f>"00312588"</f>
        <v>00312588</v>
      </c>
    </row>
    <row r="3371" spans="1:2" x14ac:dyDescent="0.25">
      <c r="A3371" s="4">
        <v>3366</v>
      </c>
      <c r="B3371" s="3" t="str">
        <f>"00312843"</f>
        <v>00312843</v>
      </c>
    </row>
    <row r="3372" spans="1:2" x14ac:dyDescent="0.25">
      <c r="A3372" s="4">
        <v>3367</v>
      </c>
      <c r="B3372" s="3" t="str">
        <f>"00312935"</f>
        <v>00312935</v>
      </c>
    </row>
    <row r="3373" spans="1:2" x14ac:dyDescent="0.25">
      <c r="A3373" s="4">
        <v>3368</v>
      </c>
      <c r="B3373" s="3" t="str">
        <f>"00312983"</f>
        <v>00312983</v>
      </c>
    </row>
    <row r="3374" spans="1:2" x14ac:dyDescent="0.25">
      <c r="A3374" s="4">
        <v>3369</v>
      </c>
      <c r="B3374" s="3" t="str">
        <f>"00313138"</f>
        <v>00313138</v>
      </c>
    </row>
    <row r="3375" spans="1:2" x14ac:dyDescent="0.25">
      <c r="A3375" s="4">
        <v>3370</v>
      </c>
      <c r="B3375" s="3" t="str">
        <f>"00313178"</f>
        <v>00313178</v>
      </c>
    </row>
    <row r="3376" spans="1:2" x14ac:dyDescent="0.25">
      <c r="A3376" s="4">
        <v>3371</v>
      </c>
      <c r="B3376" s="3" t="str">
        <f>"00313184"</f>
        <v>00313184</v>
      </c>
    </row>
    <row r="3377" spans="1:2" x14ac:dyDescent="0.25">
      <c r="A3377" s="4">
        <v>3372</v>
      </c>
      <c r="B3377" s="3" t="str">
        <f>"00313216"</f>
        <v>00313216</v>
      </c>
    </row>
    <row r="3378" spans="1:2" x14ac:dyDescent="0.25">
      <c r="A3378" s="4">
        <v>3373</v>
      </c>
      <c r="B3378" s="3" t="str">
        <f>"00313227"</f>
        <v>00313227</v>
      </c>
    </row>
    <row r="3379" spans="1:2" x14ac:dyDescent="0.25">
      <c r="A3379" s="4">
        <v>3374</v>
      </c>
      <c r="B3379" s="3" t="str">
        <f>"00313247"</f>
        <v>00313247</v>
      </c>
    </row>
    <row r="3380" spans="1:2" x14ac:dyDescent="0.25">
      <c r="A3380" s="4">
        <v>3375</v>
      </c>
      <c r="B3380" s="3" t="str">
        <f>"00313336"</f>
        <v>00313336</v>
      </c>
    </row>
    <row r="3381" spans="1:2" x14ac:dyDescent="0.25">
      <c r="A3381" s="4">
        <v>3376</v>
      </c>
      <c r="B3381" s="3" t="str">
        <f>"00313426"</f>
        <v>00313426</v>
      </c>
    </row>
    <row r="3382" spans="1:2" x14ac:dyDescent="0.25">
      <c r="A3382" s="4">
        <v>3377</v>
      </c>
      <c r="B3382" s="3" t="str">
        <f>"00313739"</f>
        <v>00313739</v>
      </c>
    </row>
    <row r="3383" spans="1:2" x14ac:dyDescent="0.25">
      <c r="A3383" s="4">
        <v>3378</v>
      </c>
      <c r="B3383" s="3" t="str">
        <f>"00313856"</f>
        <v>00313856</v>
      </c>
    </row>
    <row r="3384" spans="1:2" x14ac:dyDescent="0.25">
      <c r="A3384" s="4">
        <v>3379</v>
      </c>
      <c r="B3384" s="3" t="str">
        <f>"00313863"</f>
        <v>00313863</v>
      </c>
    </row>
    <row r="3385" spans="1:2" x14ac:dyDescent="0.25">
      <c r="A3385" s="4">
        <v>3380</v>
      </c>
      <c r="B3385" s="3" t="str">
        <f>"00314026"</f>
        <v>00314026</v>
      </c>
    </row>
    <row r="3386" spans="1:2" x14ac:dyDescent="0.25">
      <c r="A3386" s="4">
        <v>3381</v>
      </c>
      <c r="B3386" s="3" t="str">
        <f>"00314102"</f>
        <v>00314102</v>
      </c>
    </row>
    <row r="3387" spans="1:2" x14ac:dyDescent="0.25">
      <c r="A3387" s="4">
        <v>3382</v>
      </c>
      <c r="B3387" s="3" t="str">
        <f>"00314151"</f>
        <v>00314151</v>
      </c>
    </row>
    <row r="3388" spans="1:2" x14ac:dyDescent="0.25">
      <c r="A3388" s="4">
        <v>3383</v>
      </c>
      <c r="B3388" s="3" t="str">
        <f>"00314152"</f>
        <v>00314152</v>
      </c>
    </row>
    <row r="3389" spans="1:2" x14ac:dyDescent="0.25">
      <c r="A3389" s="4">
        <v>3384</v>
      </c>
      <c r="B3389" s="3" t="str">
        <f>"00314251"</f>
        <v>00314251</v>
      </c>
    </row>
    <row r="3390" spans="1:2" x14ac:dyDescent="0.25">
      <c r="A3390" s="4">
        <v>3385</v>
      </c>
      <c r="B3390" s="3" t="str">
        <f>"00314356"</f>
        <v>00314356</v>
      </c>
    </row>
    <row r="3391" spans="1:2" x14ac:dyDescent="0.25">
      <c r="A3391" s="4">
        <v>3386</v>
      </c>
      <c r="B3391" s="3" t="str">
        <f>"00314415"</f>
        <v>00314415</v>
      </c>
    </row>
    <row r="3392" spans="1:2" x14ac:dyDescent="0.25">
      <c r="A3392" s="4">
        <v>3387</v>
      </c>
      <c r="B3392" s="3" t="str">
        <f>"00314457"</f>
        <v>00314457</v>
      </c>
    </row>
    <row r="3393" spans="1:2" x14ac:dyDescent="0.25">
      <c r="A3393" s="4">
        <v>3388</v>
      </c>
      <c r="B3393" s="3" t="str">
        <f>"00314493"</f>
        <v>00314493</v>
      </c>
    </row>
    <row r="3394" spans="1:2" x14ac:dyDescent="0.25">
      <c r="A3394" s="4">
        <v>3389</v>
      </c>
      <c r="B3394" s="3" t="str">
        <f>"00314498"</f>
        <v>00314498</v>
      </c>
    </row>
    <row r="3395" spans="1:2" x14ac:dyDescent="0.25">
      <c r="A3395" s="4">
        <v>3390</v>
      </c>
      <c r="B3395" s="3" t="str">
        <f>"00314499"</f>
        <v>00314499</v>
      </c>
    </row>
    <row r="3396" spans="1:2" x14ac:dyDescent="0.25">
      <c r="A3396" s="4">
        <v>3391</v>
      </c>
      <c r="B3396" s="3" t="str">
        <f>"00314765"</f>
        <v>00314765</v>
      </c>
    </row>
    <row r="3397" spans="1:2" x14ac:dyDescent="0.25">
      <c r="A3397" s="4">
        <v>3392</v>
      </c>
      <c r="B3397" s="3" t="str">
        <f>"00315112"</f>
        <v>00315112</v>
      </c>
    </row>
    <row r="3398" spans="1:2" x14ac:dyDescent="0.25">
      <c r="A3398" s="4">
        <v>3393</v>
      </c>
      <c r="B3398" s="3" t="str">
        <f>"00315128"</f>
        <v>00315128</v>
      </c>
    </row>
    <row r="3399" spans="1:2" x14ac:dyDescent="0.25">
      <c r="A3399" s="4">
        <v>3394</v>
      </c>
      <c r="B3399" s="3" t="str">
        <f>"00315137"</f>
        <v>00315137</v>
      </c>
    </row>
    <row r="3400" spans="1:2" x14ac:dyDescent="0.25">
      <c r="A3400" s="4">
        <v>3395</v>
      </c>
      <c r="B3400" s="3" t="str">
        <f>"00315139"</f>
        <v>00315139</v>
      </c>
    </row>
    <row r="3401" spans="1:2" x14ac:dyDescent="0.25">
      <c r="A3401" s="4">
        <v>3396</v>
      </c>
      <c r="B3401" s="3" t="str">
        <f>"00315231"</f>
        <v>00315231</v>
      </c>
    </row>
    <row r="3402" spans="1:2" x14ac:dyDescent="0.25">
      <c r="A3402" s="4">
        <v>3397</v>
      </c>
      <c r="B3402" s="3" t="str">
        <f>"00315234"</f>
        <v>00315234</v>
      </c>
    </row>
    <row r="3403" spans="1:2" x14ac:dyDescent="0.25">
      <c r="A3403" s="4">
        <v>3398</v>
      </c>
      <c r="B3403" s="3" t="str">
        <f>"00315255"</f>
        <v>00315255</v>
      </c>
    </row>
    <row r="3404" spans="1:2" x14ac:dyDescent="0.25">
      <c r="A3404" s="4">
        <v>3399</v>
      </c>
      <c r="B3404" s="3" t="str">
        <f>"00315274"</f>
        <v>00315274</v>
      </c>
    </row>
    <row r="3405" spans="1:2" x14ac:dyDescent="0.25">
      <c r="A3405" s="4">
        <v>3400</v>
      </c>
      <c r="B3405" s="3" t="str">
        <f>"00315380"</f>
        <v>00315380</v>
      </c>
    </row>
    <row r="3406" spans="1:2" x14ac:dyDescent="0.25">
      <c r="A3406" s="4">
        <v>3401</v>
      </c>
      <c r="B3406" s="3" t="str">
        <f>"00315576"</f>
        <v>00315576</v>
      </c>
    </row>
    <row r="3407" spans="1:2" x14ac:dyDescent="0.25">
      <c r="A3407" s="4">
        <v>3402</v>
      </c>
      <c r="B3407" s="3" t="str">
        <f>"00315595"</f>
        <v>00315595</v>
      </c>
    </row>
    <row r="3408" spans="1:2" x14ac:dyDescent="0.25">
      <c r="A3408" s="4">
        <v>3403</v>
      </c>
      <c r="B3408" s="3" t="str">
        <f>"00315598"</f>
        <v>00315598</v>
      </c>
    </row>
    <row r="3409" spans="1:2" x14ac:dyDescent="0.25">
      <c r="A3409" s="4">
        <v>3404</v>
      </c>
      <c r="B3409" s="3" t="str">
        <f>"00315913"</f>
        <v>00315913</v>
      </c>
    </row>
    <row r="3410" spans="1:2" x14ac:dyDescent="0.25">
      <c r="A3410" s="4">
        <v>3405</v>
      </c>
      <c r="B3410" s="3" t="str">
        <f>"00315982"</f>
        <v>00315982</v>
      </c>
    </row>
    <row r="3411" spans="1:2" x14ac:dyDescent="0.25">
      <c r="A3411" s="4">
        <v>3406</v>
      </c>
      <c r="B3411" s="3" t="str">
        <f>"00316113"</f>
        <v>00316113</v>
      </c>
    </row>
    <row r="3412" spans="1:2" x14ac:dyDescent="0.25">
      <c r="A3412" s="4">
        <v>3407</v>
      </c>
      <c r="B3412" s="3" t="str">
        <f>"00316248"</f>
        <v>00316248</v>
      </c>
    </row>
    <row r="3413" spans="1:2" x14ac:dyDescent="0.25">
      <c r="A3413" s="4">
        <v>3408</v>
      </c>
      <c r="B3413" s="3" t="str">
        <f>"00316318"</f>
        <v>00316318</v>
      </c>
    </row>
    <row r="3414" spans="1:2" x14ac:dyDescent="0.25">
      <c r="A3414" s="4">
        <v>3409</v>
      </c>
      <c r="B3414" s="3" t="str">
        <f>"00316467"</f>
        <v>00316467</v>
      </c>
    </row>
    <row r="3415" spans="1:2" x14ac:dyDescent="0.25">
      <c r="A3415" s="4">
        <v>3410</v>
      </c>
      <c r="B3415" s="3" t="str">
        <f>"00316541"</f>
        <v>00316541</v>
      </c>
    </row>
    <row r="3416" spans="1:2" x14ac:dyDescent="0.25">
      <c r="A3416" s="4">
        <v>3411</v>
      </c>
      <c r="B3416" s="3" t="str">
        <f>"00316959"</f>
        <v>00316959</v>
      </c>
    </row>
    <row r="3417" spans="1:2" x14ac:dyDescent="0.25">
      <c r="A3417" s="4">
        <v>3412</v>
      </c>
      <c r="B3417" s="3" t="str">
        <f>"00317136"</f>
        <v>00317136</v>
      </c>
    </row>
    <row r="3418" spans="1:2" x14ac:dyDescent="0.25">
      <c r="A3418" s="4">
        <v>3413</v>
      </c>
      <c r="B3418" s="3" t="str">
        <f>"00317141"</f>
        <v>00317141</v>
      </c>
    </row>
    <row r="3419" spans="1:2" x14ac:dyDescent="0.25">
      <c r="A3419" s="4">
        <v>3414</v>
      </c>
      <c r="B3419" s="3" t="str">
        <f>"00317178"</f>
        <v>00317178</v>
      </c>
    </row>
    <row r="3420" spans="1:2" x14ac:dyDescent="0.25">
      <c r="A3420" s="4">
        <v>3415</v>
      </c>
      <c r="B3420" s="3" t="str">
        <f>"00317260"</f>
        <v>00317260</v>
      </c>
    </row>
    <row r="3421" spans="1:2" x14ac:dyDescent="0.25">
      <c r="A3421" s="4">
        <v>3416</v>
      </c>
      <c r="B3421" s="3" t="str">
        <f>"00317386"</f>
        <v>00317386</v>
      </c>
    </row>
    <row r="3422" spans="1:2" x14ac:dyDescent="0.25">
      <c r="A3422" s="4">
        <v>3417</v>
      </c>
      <c r="B3422" s="3" t="str">
        <f>"00317433"</f>
        <v>00317433</v>
      </c>
    </row>
    <row r="3423" spans="1:2" x14ac:dyDescent="0.25">
      <c r="A3423" s="4">
        <v>3418</v>
      </c>
      <c r="B3423" s="3" t="str">
        <f>"00317495"</f>
        <v>00317495</v>
      </c>
    </row>
    <row r="3424" spans="1:2" x14ac:dyDescent="0.25">
      <c r="A3424" s="4">
        <v>3419</v>
      </c>
      <c r="B3424" s="3" t="str">
        <f>"00317534"</f>
        <v>00317534</v>
      </c>
    </row>
    <row r="3425" spans="1:2" x14ac:dyDescent="0.25">
      <c r="A3425" s="4">
        <v>3420</v>
      </c>
      <c r="B3425" s="3" t="str">
        <f>"00317552"</f>
        <v>00317552</v>
      </c>
    </row>
    <row r="3426" spans="1:2" x14ac:dyDescent="0.25">
      <c r="A3426" s="4">
        <v>3421</v>
      </c>
      <c r="B3426" s="3" t="str">
        <f>"00317603"</f>
        <v>00317603</v>
      </c>
    </row>
    <row r="3427" spans="1:2" x14ac:dyDescent="0.25">
      <c r="A3427" s="4">
        <v>3422</v>
      </c>
      <c r="B3427" s="3" t="str">
        <f>"00317730"</f>
        <v>00317730</v>
      </c>
    </row>
    <row r="3428" spans="1:2" x14ac:dyDescent="0.25">
      <c r="A3428" s="4">
        <v>3423</v>
      </c>
      <c r="B3428" s="3" t="str">
        <f>"00317738"</f>
        <v>00317738</v>
      </c>
    </row>
    <row r="3429" spans="1:2" x14ac:dyDescent="0.25">
      <c r="A3429" s="4">
        <v>3424</v>
      </c>
      <c r="B3429" s="3" t="str">
        <f>"00317741"</f>
        <v>00317741</v>
      </c>
    </row>
    <row r="3430" spans="1:2" x14ac:dyDescent="0.25">
      <c r="A3430" s="4">
        <v>3425</v>
      </c>
      <c r="B3430" s="3" t="str">
        <f>"00318149"</f>
        <v>00318149</v>
      </c>
    </row>
    <row r="3431" spans="1:2" x14ac:dyDescent="0.25">
      <c r="A3431" s="4">
        <v>3426</v>
      </c>
      <c r="B3431" s="3" t="str">
        <f>"00318153"</f>
        <v>00318153</v>
      </c>
    </row>
    <row r="3432" spans="1:2" x14ac:dyDescent="0.25">
      <c r="A3432" s="4">
        <v>3427</v>
      </c>
      <c r="B3432" s="3" t="str">
        <f>"00318194"</f>
        <v>00318194</v>
      </c>
    </row>
    <row r="3433" spans="1:2" x14ac:dyDescent="0.25">
      <c r="A3433" s="4">
        <v>3428</v>
      </c>
      <c r="B3433" s="3" t="str">
        <f>"00318207"</f>
        <v>00318207</v>
      </c>
    </row>
    <row r="3434" spans="1:2" x14ac:dyDescent="0.25">
      <c r="A3434" s="4">
        <v>3429</v>
      </c>
      <c r="B3434" s="3" t="str">
        <f>"00318222"</f>
        <v>00318222</v>
      </c>
    </row>
    <row r="3435" spans="1:2" x14ac:dyDescent="0.25">
      <c r="A3435" s="4">
        <v>3430</v>
      </c>
      <c r="B3435" s="3" t="str">
        <f>"00318261"</f>
        <v>00318261</v>
      </c>
    </row>
    <row r="3436" spans="1:2" x14ac:dyDescent="0.25">
      <c r="A3436" s="4">
        <v>3431</v>
      </c>
      <c r="B3436" s="3" t="str">
        <f>"00318273"</f>
        <v>00318273</v>
      </c>
    </row>
    <row r="3437" spans="1:2" x14ac:dyDescent="0.25">
      <c r="A3437" s="4">
        <v>3432</v>
      </c>
      <c r="B3437" s="3" t="str">
        <f>"00318752"</f>
        <v>00318752</v>
      </c>
    </row>
    <row r="3438" spans="1:2" x14ac:dyDescent="0.25">
      <c r="A3438" s="4">
        <v>3433</v>
      </c>
      <c r="B3438" s="3" t="str">
        <f>"00318778"</f>
        <v>00318778</v>
      </c>
    </row>
    <row r="3439" spans="1:2" x14ac:dyDescent="0.25">
      <c r="A3439" s="4">
        <v>3434</v>
      </c>
      <c r="B3439" s="3" t="str">
        <f>"00318823"</f>
        <v>00318823</v>
      </c>
    </row>
    <row r="3440" spans="1:2" x14ac:dyDescent="0.25">
      <c r="A3440" s="4">
        <v>3435</v>
      </c>
      <c r="B3440" s="3" t="str">
        <f>"00318881"</f>
        <v>00318881</v>
      </c>
    </row>
    <row r="3441" spans="1:2" x14ac:dyDescent="0.25">
      <c r="A3441" s="4">
        <v>3436</v>
      </c>
      <c r="B3441" s="3" t="str">
        <f>"00318893"</f>
        <v>00318893</v>
      </c>
    </row>
    <row r="3442" spans="1:2" x14ac:dyDescent="0.25">
      <c r="A3442" s="4">
        <v>3437</v>
      </c>
      <c r="B3442" s="3" t="str">
        <f>"00318920"</f>
        <v>00318920</v>
      </c>
    </row>
    <row r="3443" spans="1:2" x14ac:dyDescent="0.25">
      <c r="A3443" s="4">
        <v>3438</v>
      </c>
      <c r="B3443" s="3" t="str">
        <f>"00319050"</f>
        <v>00319050</v>
      </c>
    </row>
    <row r="3444" spans="1:2" x14ac:dyDescent="0.25">
      <c r="A3444" s="4">
        <v>3439</v>
      </c>
      <c r="B3444" s="3" t="str">
        <f>"00319130"</f>
        <v>00319130</v>
      </c>
    </row>
    <row r="3445" spans="1:2" x14ac:dyDescent="0.25">
      <c r="A3445" s="4">
        <v>3440</v>
      </c>
      <c r="B3445" s="3" t="str">
        <f>"00319164"</f>
        <v>00319164</v>
      </c>
    </row>
    <row r="3446" spans="1:2" x14ac:dyDescent="0.25">
      <c r="A3446" s="4">
        <v>3441</v>
      </c>
      <c r="B3446" s="3" t="str">
        <f>"00319215"</f>
        <v>00319215</v>
      </c>
    </row>
    <row r="3447" spans="1:2" x14ac:dyDescent="0.25">
      <c r="A3447" s="4">
        <v>3442</v>
      </c>
      <c r="B3447" s="3" t="str">
        <f>"00319314"</f>
        <v>00319314</v>
      </c>
    </row>
    <row r="3448" spans="1:2" x14ac:dyDescent="0.25">
      <c r="A3448" s="4">
        <v>3443</v>
      </c>
      <c r="B3448" s="3" t="str">
        <f>"00319352"</f>
        <v>00319352</v>
      </c>
    </row>
    <row r="3449" spans="1:2" x14ac:dyDescent="0.25">
      <c r="A3449" s="4">
        <v>3444</v>
      </c>
      <c r="B3449" s="3" t="str">
        <f>"00319450"</f>
        <v>00319450</v>
      </c>
    </row>
    <row r="3450" spans="1:2" x14ac:dyDescent="0.25">
      <c r="A3450" s="4">
        <v>3445</v>
      </c>
      <c r="B3450" s="3" t="str">
        <f>"00319479"</f>
        <v>00319479</v>
      </c>
    </row>
    <row r="3451" spans="1:2" x14ac:dyDescent="0.25">
      <c r="A3451" s="4">
        <v>3446</v>
      </c>
      <c r="B3451" s="3" t="str">
        <f>"00319498"</f>
        <v>00319498</v>
      </c>
    </row>
    <row r="3452" spans="1:2" x14ac:dyDescent="0.25">
      <c r="A3452" s="4">
        <v>3447</v>
      </c>
      <c r="B3452" s="3" t="str">
        <f>"00319568"</f>
        <v>00319568</v>
      </c>
    </row>
    <row r="3453" spans="1:2" x14ac:dyDescent="0.25">
      <c r="A3453" s="4">
        <v>3448</v>
      </c>
      <c r="B3453" s="3" t="str">
        <f>"00319767"</f>
        <v>00319767</v>
      </c>
    </row>
    <row r="3454" spans="1:2" x14ac:dyDescent="0.25">
      <c r="A3454" s="4">
        <v>3449</v>
      </c>
      <c r="B3454" s="3" t="str">
        <f>"00320010"</f>
        <v>00320010</v>
      </c>
    </row>
    <row r="3455" spans="1:2" x14ac:dyDescent="0.25">
      <c r="A3455" s="4">
        <v>3450</v>
      </c>
      <c r="B3455" s="3" t="str">
        <f>"00320165"</f>
        <v>00320165</v>
      </c>
    </row>
    <row r="3456" spans="1:2" x14ac:dyDescent="0.25">
      <c r="A3456" s="4">
        <v>3451</v>
      </c>
      <c r="B3456" s="3" t="str">
        <f>"00320268"</f>
        <v>00320268</v>
      </c>
    </row>
    <row r="3457" spans="1:2" x14ac:dyDescent="0.25">
      <c r="A3457" s="4">
        <v>3452</v>
      </c>
      <c r="B3457" s="3" t="str">
        <f>"00320328"</f>
        <v>00320328</v>
      </c>
    </row>
    <row r="3458" spans="1:2" x14ac:dyDescent="0.25">
      <c r="A3458" s="4">
        <v>3453</v>
      </c>
      <c r="B3458" s="3" t="str">
        <f>"00320479"</f>
        <v>00320479</v>
      </c>
    </row>
    <row r="3459" spans="1:2" x14ac:dyDescent="0.25">
      <c r="A3459" s="4">
        <v>3454</v>
      </c>
      <c r="B3459" s="3" t="str">
        <f>"00320494"</f>
        <v>00320494</v>
      </c>
    </row>
    <row r="3460" spans="1:2" x14ac:dyDescent="0.25">
      <c r="A3460" s="4">
        <v>3455</v>
      </c>
      <c r="B3460" s="3" t="str">
        <f>"00320542"</f>
        <v>00320542</v>
      </c>
    </row>
    <row r="3461" spans="1:2" x14ac:dyDescent="0.25">
      <c r="A3461" s="4">
        <v>3456</v>
      </c>
      <c r="B3461" s="3" t="str">
        <f>"00320602"</f>
        <v>00320602</v>
      </c>
    </row>
    <row r="3462" spans="1:2" x14ac:dyDescent="0.25">
      <c r="A3462" s="4">
        <v>3457</v>
      </c>
      <c r="B3462" s="3" t="str">
        <f>"00320771"</f>
        <v>00320771</v>
      </c>
    </row>
    <row r="3463" spans="1:2" x14ac:dyDescent="0.25">
      <c r="A3463" s="4">
        <v>3458</v>
      </c>
      <c r="B3463" s="3" t="str">
        <f>"00321334"</f>
        <v>00321334</v>
      </c>
    </row>
    <row r="3464" spans="1:2" x14ac:dyDescent="0.25">
      <c r="A3464" s="4">
        <v>3459</v>
      </c>
      <c r="B3464" s="3" t="str">
        <f>"00321486"</f>
        <v>00321486</v>
      </c>
    </row>
    <row r="3465" spans="1:2" x14ac:dyDescent="0.25">
      <c r="A3465" s="4">
        <v>3460</v>
      </c>
      <c r="B3465" s="3" t="str">
        <f>"00321702"</f>
        <v>00321702</v>
      </c>
    </row>
    <row r="3466" spans="1:2" x14ac:dyDescent="0.25">
      <c r="A3466" s="4">
        <v>3461</v>
      </c>
      <c r="B3466" s="3" t="str">
        <f>"00321838"</f>
        <v>00321838</v>
      </c>
    </row>
    <row r="3467" spans="1:2" x14ac:dyDescent="0.25">
      <c r="A3467" s="4">
        <v>3462</v>
      </c>
      <c r="B3467" s="3" t="str">
        <f>"00321916"</f>
        <v>00321916</v>
      </c>
    </row>
    <row r="3468" spans="1:2" x14ac:dyDescent="0.25">
      <c r="A3468" s="4">
        <v>3463</v>
      </c>
      <c r="B3468" s="3" t="str">
        <f>"00321994"</f>
        <v>00321994</v>
      </c>
    </row>
    <row r="3469" spans="1:2" x14ac:dyDescent="0.25">
      <c r="A3469" s="4">
        <v>3464</v>
      </c>
      <c r="B3469" s="3" t="str">
        <f>"00322102"</f>
        <v>00322102</v>
      </c>
    </row>
    <row r="3470" spans="1:2" x14ac:dyDescent="0.25">
      <c r="A3470" s="4">
        <v>3465</v>
      </c>
      <c r="B3470" s="3" t="str">
        <f>"00322106"</f>
        <v>00322106</v>
      </c>
    </row>
    <row r="3471" spans="1:2" x14ac:dyDescent="0.25">
      <c r="A3471" s="4">
        <v>3466</v>
      </c>
      <c r="B3471" s="3" t="str">
        <f>"00322434"</f>
        <v>00322434</v>
      </c>
    </row>
    <row r="3472" spans="1:2" x14ac:dyDescent="0.25">
      <c r="A3472" s="4">
        <v>3467</v>
      </c>
      <c r="B3472" s="3" t="str">
        <f>"00322660"</f>
        <v>00322660</v>
      </c>
    </row>
    <row r="3473" spans="1:2" x14ac:dyDescent="0.25">
      <c r="A3473" s="4">
        <v>3468</v>
      </c>
      <c r="B3473" s="3" t="str">
        <f>"00322678"</f>
        <v>00322678</v>
      </c>
    </row>
    <row r="3474" spans="1:2" x14ac:dyDescent="0.25">
      <c r="A3474" s="4">
        <v>3469</v>
      </c>
      <c r="B3474" s="3" t="str">
        <f>"00322772"</f>
        <v>00322772</v>
      </c>
    </row>
    <row r="3475" spans="1:2" x14ac:dyDescent="0.25">
      <c r="A3475" s="4">
        <v>3470</v>
      </c>
      <c r="B3475" s="3" t="str">
        <f>"00322838"</f>
        <v>00322838</v>
      </c>
    </row>
    <row r="3476" spans="1:2" x14ac:dyDescent="0.25">
      <c r="A3476" s="4">
        <v>3471</v>
      </c>
      <c r="B3476" s="3" t="str">
        <f>"00322862"</f>
        <v>00322862</v>
      </c>
    </row>
    <row r="3477" spans="1:2" x14ac:dyDescent="0.25">
      <c r="A3477" s="4">
        <v>3472</v>
      </c>
      <c r="B3477" s="3" t="str">
        <f>"00323142"</f>
        <v>00323142</v>
      </c>
    </row>
    <row r="3478" spans="1:2" x14ac:dyDescent="0.25">
      <c r="A3478" s="4">
        <v>3473</v>
      </c>
      <c r="B3478" s="3" t="str">
        <f>"00323290"</f>
        <v>00323290</v>
      </c>
    </row>
    <row r="3479" spans="1:2" x14ac:dyDescent="0.25">
      <c r="A3479" s="4">
        <v>3474</v>
      </c>
      <c r="B3479" s="3" t="str">
        <f>"00323323"</f>
        <v>00323323</v>
      </c>
    </row>
    <row r="3480" spans="1:2" x14ac:dyDescent="0.25">
      <c r="A3480" s="4">
        <v>3475</v>
      </c>
      <c r="B3480" s="3" t="str">
        <f>"00323501"</f>
        <v>00323501</v>
      </c>
    </row>
    <row r="3481" spans="1:2" x14ac:dyDescent="0.25">
      <c r="A3481" s="4">
        <v>3476</v>
      </c>
      <c r="B3481" s="3" t="str">
        <f>"00323585"</f>
        <v>00323585</v>
      </c>
    </row>
    <row r="3482" spans="1:2" x14ac:dyDescent="0.25">
      <c r="A3482" s="4">
        <v>3477</v>
      </c>
      <c r="B3482" s="3" t="str">
        <f>"00323605"</f>
        <v>00323605</v>
      </c>
    </row>
    <row r="3483" spans="1:2" x14ac:dyDescent="0.25">
      <c r="A3483" s="4">
        <v>3478</v>
      </c>
      <c r="B3483" s="3" t="str">
        <f>"00323793"</f>
        <v>00323793</v>
      </c>
    </row>
    <row r="3484" spans="1:2" x14ac:dyDescent="0.25">
      <c r="A3484" s="4">
        <v>3479</v>
      </c>
      <c r="B3484" s="3" t="str">
        <f>"00323870"</f>
        <v>00323870</v>
      </c>
    </row>
    <row r="3485" spans="1:2" x14ac:dyDescent="0.25">
      <c r="A3485" s="4">
        <v>3480</v>
      </c>
      <c r="B3485" s="3" t="str">
        <f>"00323931"</f>
        <v>00323931</v>
      </c>
    </row>
    <row r="3486" spans="1:2" x14ac:dyDescent="0.25">
      <c r="A3486" s="4">
        <v>3481</v>
      </c>
      <c r="B3486" s="3" t="str">
        <f>"00323955"</f>
        <v>00323955</v>
      </c>
    </row>
    <row r="3487" spans="1:2" x14ac:dyDescent="0.25">
      <c r="A3487" s="4">
        <v>3482</v>
      </c>
      <c r="B3487" s="3" t="str">
        <f>"00323959"</f>
        <v>00323959</v>
      </c>
    </row>
    <row r="3488" spans="1:2" x14ac:dyDescent="0.25">
      <c r="A3488" s="4">
        <v>3483</v>
      </c>
      <c r="B3488" s="3" t="str">
        <f>"00324343"</f>
        <v>00324343</v>
      </c>
    </row>
    <row r="3489" spans="1:2" x14ac:dyDescent="0.25">
      <c r="A3489" s="4">
        <v>3484</v>
      </c>
      <c r="B3489" s="3" t="str">
        <f>"00324722"</f>
        <v>00324722</v>
      </c>
    </row>
    <row r="3490" spans="1:2" x14ac:dyDescent="0.25">
      <c r="A3490" s="4">
        <v>3485</v>
      </c>
      <c r="B3490" s="3" t="str">
        <f>"00324770"</f>
        <v>00324770</v>
      </c>
    </row>
    <row r="3491" spans="1:2" x14ac:dyDescent="0.25">
      <c r="A3491" s="4">
        <v>3486</v>
      </c>
      <c r="B3491" s="3" t="str">
        <f>"00324789"</f>
        <v>00324789</v>
      </c>
    </row>
    <row r="3492" spans="1:2" x14ac:dyDescent="0.25">
      <c r="A3492" s="4">
        <v>3487</v>
      </c>
      <c r="B3492" s="3" t="str">
        <f>"00324806"</f>
        <v>00324806</v>
      </c>
    </row>
    <row r="3493" spans="1:2" x14ac:dyDescent="0.25">
      <c r="A3493" s="4">
        <v>3488</v>
      </c>
      <c r="B3493" s="3" t="str">
        <f>"00324926"</f>
        <v>00324926</v>
      </c>
    </row>
    <row r="3494" spans="1:2" x14ac:dyDescent="0.25">
      <c r="A3494" s="4">
        <v>3489</v>
      </c>
      <c r="B3494" s="3" t="str">
        <f>"00324976"</f>
        <v>00324976</v>
      </c>
    </row>
    <row r="3495" spans="1:2" x14ac:dyDescent="0.25">
      <c r="A3495" s="4">
        <v>3490</v>
      </c>
      <c r="B3495" s="3" t="str">
        <f>"00325109"</f>
        <v>00325109</v>
      </c>
    </row>
    <row r="3496" spans="1:2" x14ac:dyDescent="0.25">
      <c r="A3496" s="4">
        <v>3491</v>
      </c>
      <c r="B3496" s="3" t="str">
        <f>"00325541"</f>
        <v>00325541</v>
      </c>
    </row>
    <row r="3497" spans="1:2" x14ac:dyDescent="0.25">
      <c r="A3497" s="4">
        <v>3492</v>
      </c>
      <c r="B3497" s="3" t="str">
        <f>"00325627"</f>
        <v>00325627</v>
      </c>
    </row>
    <row r="3498" spans="1:2" x14ac:dyDescent="0.25">
      <c r="A3498" s="4">
        <v>3493</v>
      </c>
      <c r="B3498" s="3" t="str">
        <f>"00325661"</f>
        <v>00325661</v>
      </c>
    </row>
    <row r="3499" spans="1:2" x14ac:dyDescent="0.25">
      <c r="A3499" s="4">
        <v>3494</v>
      </c>
      <c r="B3499" s="3" t="str">
        <f>"00325713"</f>
        <v>00325713</v>
      </c>
    </row>
    <row r="3500" spans="1:2" x14ac:dyDescent="0.25">
      <c r="A3500" s="4">
        <v>3495</v>
      </c>
      <c r="B3500" s="3" t="str">
        <f>"00325994"</f>
        <v>00325994</v>
      </c>
    </row>
    <row r="3501" spans="1:2" x14ac:dyDescent="0.25">
      <c r="A3501" s="4">
        <v>3496</v>
      </c>
      <c r="B3501" s="3" t="str">
        <f>"00326013"</f>
        <v>00326013</v>
      </c>
    </row>
    <row r="3502" spans="1:2" x14ac:dyDescent="0.25">
      <c r="A3502" s="4">
        <v>3497</v>
      </c>
      <c r="B3502" s="3" t="str">
        <f>"00326020"</f>
        <v>00326020</v>
      </c>
    </row>
    <row r="3503" spans="1:2" x14ac:dyDescent="0.25">
      <c r="A3503" s="4">
        <v>3498</v>
      </c>
      <c r="B3503" s="3" t="str">
        <f>"00326081"</f>
        <v>00326081</v>
      </c>
    </row>
    <row r="3504" spans="1:2" x14ac:dyDescent="0.25">
      <c r="A3504" s="4">
        <v>3499</v>
      </c>
      <c r="B3504" s="3" t="str">
        <f>"00326449"</f>
        <v>00326449</v>
      </c>
    </row>
    <row r="3505" spans="1:2" x14ac:dyDescent="0.25">
      <c r="A3505" s="4">
        <v>3500</v>
      </c>
      <c r="B3505" s="3" t="str">
        <f>"00326595"</f>
        <v>00326595</v>
      </c>
    </row>
    <row r="3506" spans="1:2" x14ac:dyDescent="0.25">
      <c r="A3506" s="4">
        <v>3501</v>
      </c>
      <c r="B3506" s="3" t="str">
        <f>"00326621"</f>
        <v>00326621</v>
      </c>
    </row>
    <row r="3507" spans="1:2" x14ac:dyDescent="0.25">
      <c r="A3507" s="4">
        <v>3502</v>
      </c>
      <c r="B3507" s="3" t="str">
        <f>"00326762"</f>
        <v>00326762</v>
      </c>
    </row>
    <row r="3508" spans="1:2" x14ac:dyDescent="0.25">
      <c r="A3508" s="4">
        <v>3503</v>
      </c>
      <c r="B3508" s="3" t="str">
        <f>"00326878"</f>
        <v>00326878</v>
      </c>
    </row>
    <row r="3509" spans="1:2" x14ac:dyDescent="0.25">
      <c r="A3509" s="4">
        <v>3504</v>
      </c>
      <c r="B3509" s="3" t="str">
        <f>"00326915"</f>
        <v>00326915</v>
      </c>
    </row>
    <row r="3510" spans="1:2" x14ac:dyDescent="0.25">
      <c r="A3510" s="4">
        <v>3505</v>
      </c>
      <c r="B3510" s="3" t="str">
        <f>"00327042"</f>
        <v>00327042</v>
      </c>
    </row>
    <row r="3511" spans="1:2" x14ac:dyDescent="0.25">
      <c r="A3511" s="4">
        <v>3506</v>
      </c>
      <c r="B3511" s="3" t="str">
        <f>"00327048"</f>
        <v>00327048</v>
      </c>
    </row>
    <row r="3512" spans="1:2" x14ac:dyDescent="0.25">
      <c r="A3512" s="4">
        <v>3507</v>
      </c>
      <c r="B3512" s="3" t="str">
        <f>"00327061"</f>
        <v>00327061</v>
      </c>
    </row>
    <row r="3513" spans="1:2" x14ac:dyDescent="0.25">
      <c r="A3513" s="4">
        <v>3508</v>
      </c>
      <c r="B3513" s="3" t="str">
        <f>"00327257"</f>
        <v>00327257</v>
      </c>
    </row>
    <row r="3514" spans="1:2" x14ac:dyDescent="0.25">
      <c r="A3514" s="4">
        <v>3509</v>
      </c>
      <c r="B3514" s="3" t="str">
        <f>"00327402"</f>
        <v>00327402</v>
      </c>
    </row>
    <row r="3515" spans="1:2" x14ac:dyDescent="0.25">
      <c r="A3515" s="4">
        <v>3510</v>
      </c>
      <c r="B3515" s="3" t="str">
        <f>"00327435"</f>
        <v>00327435</v>
      </c>
    </row>
    <row r="3516" spans="1:2" x14ac:dyDescent="0.25">
      <c r="A3516" s="4">
        <v>3511</v>
      </c>
      <c r="B3516" s="3" t="str">
        <f>"00327459"</f>
        <v>00327459</v>
      </c>
    </row>
    <row r="3517" spans="1:2" x14ac:dyDescent="0.25">
      <c r="A3517" s="4">
        <v>3512</v>
      </c>
      <c r="B3517" s="3" t="str">
        <f>"00327535"</f>
        <v>00327535</v>
      </c>
    </row>
    <row r="3518" spans="1:2" x14ac:dyDescent="0.25">
      <c r="A3518" s="4">
        <v>3513</v>
      </c>
      <c r="B3518" s="3" t="str">
        <f>"00327655"</f>
        <v>00327655</v>
      </c>
    </row>
    <row r="3519" spans="1:2" x14ac:dyDescent="0.25">
      <c r="A3519" s="4">
        <v>3514</v>
      </c>
      <c r="B3519" s="3" t="str">
        <f>"00328205"</f>
        <v>00328205</v>
      </c>
    </row>
    <row r="3520" spans="1:2" x14ac:dyDescent="0.25">
      <c r="A3520" s="4">
        <v>3515</v>
      </c>
      <c r="B3520" s="3" t="str">
        <f>"00328379"</f>
        <v>00328379</v>
      </c>
    </row>
    <row r="3521" spans="1:2" x14ac:dyDescent="0.25">
      <c r="A3521" s="4">
        <v>3516</v>
      </c>
      <c r="B3521" s="3" t="str">
        <f>"00328395"</f>
        <v>00328395</v>
      </c>
    </row>
    <row r="3522" spans="1:2" x14ac:dyDescent="0.25">
      <c r="A3522" s="4">
        <v>3517</v>
      </c>
      <c r="B3522" s="3" t="str">
        <f>"00328453"</f>
        <v>00328453</v>
      </c>
    </row>
    <row r="3523" spans="1:2" x14ac:dyDescent="0.25">
      <c r="A3523" s="4">
        <v>3518</v>
      </c>
      <c r="B3523" s="3" t="str">
        <f>"00328457"</f>
        <v>00328457</v>
      </c>
    </row>
    <row r="3524" spans="1:2" x14ac:dyDescent="0.25">
      <c r="A3524" s="4">
        <v>3519</v>
      </c>
      <c r="B3524" s="3" t="str">
        <f>"00328493"</f>
        <v>00328493</v>
      </c>
    </row>
    <row r="3525" spans="1:2" x14ac:dyDescent="0.25">
      <c r="A3525" s="4">
        <v>3520</v>
      </c>
      <c r="B3525" s="3" t="str">
        <f>"00328527"</f>
        <v>00328527</v>
      </c>
    </row>
    <row r="3526" spans="1:2" x14ac:dyDescent="0.25">
      <c r="A3526" s="4">
        <v>3521</v>
      </c>
      <c r="B3526" s="3" t="str">
        <f>"00328570"</f>
        <v>00328570</v>
      </c>
    </row>
    <row r="3527" spans="1:2" x14ac:dyDescent="0.25">
      <c r="A3527" s="4">
        <v>3522</v>
      </c>
      <c r="B3527" s="3" t="str">
        <f>"00328779"</f>
        <v>00328779</v>
      </c>
    </row>
    <row r="3528" spans="1:2" x14ac:dyDescent="0.25">
      <c r="A3528" s="4">
        <v>3523</v>
      </c>
      <c r="B3528" s="3" t="str">
        <f>"00328782"</f>
        <v>00328782</v>
      </c>
    </row>
    <row r="3529" spans="1:2" x14ac:dyDescent="0.25">
      <c r="A3529" s="4">
        <v>3524</v>
      </c>
      <c r="B3529" s="3" t="str">
        <f>"00328794"</f>
        <v>00328794</v>
      </c>
    </row>
    <row r="3530" spans="1:2" x14ac:dyDescent="0.25">
      <c r="A3530" s="4">
        <v>3525</v>
      </c>
      <c r="B3530" s="3" t="str">
        <f>"00328890"</f>
        <v>00328890</v>
      </c>
    </row>
    <row r="3531" spans="1:2" x14ac:dyDescent="0.25">
      <c r="A3531" s="4">
        <v>3526</v>
      </c>
      <c r="B3531" s="3" t="str">
        <f>"00328899"</f>
        <v>00328899</v>
      </c>
    </row>
    <row r="3532" spans="1:2" x14ac:dyDescent="0.25">
      <c r="A3532" s="4">
        <v>3527</v>
      </c>
      <c r="B3532" s="3" t="str">
        <f>"00328940"</f>
        <v>00328940</v>
      </c>
    </row>
    <row r="3533" spans="1:2" x14ac:dyDescent="0.25">
      <c r="A3533" s="4">
        <v>3528</v>
      </c>
      <c r="B3533" s="3" t="str">
        <f>"00328942"</f>
        <v>00328942</v>
      </c>
    </row>
    <row r="3534" spans="1:2" x14ac:dyDescent="0.25">
      <c r="A3534" s="4">
        <v>3529</v>
      </c>
      <c r="B3534" s="3" t="str">
        <f>"00329174"</f>
        <v>00329174</v>
      </c>
    </row>
    <row r="3535" spans="1:2" x14ac:dyDescent="0.25">
      <c r="A3535" s="4">
        <v>3530</v>
      </c>
      <c r="B3535" s="3" t="str">
        <f>"00329241"</f>
        <v>00329241</v>
      </c>
    </row>
    <row r="3536" spans="1:2" x14ac:dyDescent="0.25">
      <c r="A3536" s="4">
        <v>3531</v>
      </c>
      <c r="B3536" s="3" t="str">
        <f>"00329378"</f>
        <v>00329378</v>
      </c>
    </row>
    <row r="3537" spans="1:2" x14ac:dyDescent="0.25">
      <c r="A3537" s="4">
        <v>3532</v>
      </c>
      <c r="B3537" s="3" t="str">
        <f>"00329410"</f>
        <v>00329410</v>
      </c>
    </row>
    <row r="3538" spans="1:2" x14ac:dyDescent="0.25">
      <c r="A3538" s="4">
        <v>3533</v>
      </c>
      <c r="B3538" s="3" t="str">
        <f>"00329732"</f>
        <v>00329732</v>
      </c>
    </row>
    <row r="3539" spans="1:2" x14ac:dyDescent="0.25">
      <c r="A3539" s="4">
        <v>3534</v>
      </c>
      <c r="B3539" s="3" t="str">
        <f>"00329815"</f>
        <v>00329815</v>
      </c>
    </row>
    <row r="3540" spans="1:2" x14ac:dyDescent="0.25">
      <c r="A3540" s="4">
        <v>3535</v>
      </c>
      <c r="B3540" s="3" t="str">
        <f>"00329859"</f>
        <v>00329859</v>
      </c>
    </row>
    <row r="3541" spans="1:2" x14ac:dyDescent="0.25">
      <c r="A3541" s="4">
        <v>3536</v>
      </c>
      <c r="B3541" s="3" t="str">
        <f>"00330589"</f>
        <v>00330589</v>
      </c>
    </row>
    <row r="3542" spans="1:2" x14ac:dyDescent="0.25">
      <c r="A3542" s="4">
        <v>3537</v>
      </c>
      <c r="B3542" s="3" t="str">
        <f>"00330779"</f>
        <v>00330779</v>
      </c>
    </row>
    <row r="3543" spans="1:2" x14ac:dyDescent="0.25">
      <c r="A3543" s="4">
        <v>3538</v>
      </c>
      <c r="B3543" s="3" t="str">
        <f>"00331001"</f>
        <v>00331001</v>
      </c>
    </row>
    <row r="3544" spans="1:2" x14ac:dyDescent="0.25">
      <c r="A3544" s="4">
        <v>3539</v>
      </c>
      <c r="B3544" s="3" t="str">
        <f>"00331122"</f>
        <v>00331122</v>
      </c>
    </row>
    <row r="3545" spans="1:2" x14ac:dyDescent="0.25">
      <c r="A3545" s="4">
        <v>3540</v>
      </c>
      <c r="B3545" s="3" t="str">
        <f>"00331168"</f>
        <v>00331168</v>
      </c>
    </row>
    <row r="3546" spans="1:2" x14ac:dyDescent="0.25">
      <c r="A3546" s="4">
        <v>3541</v>
      </c>
      <c r="B3546" s="3" t="str">
        <f>"00331173"</f>
        <v>00331173</v>
      </c>
    </row>
    <row r="3547" spans="1:2" x14ac:dyDescent="0.25">
      <c r="A3547" s="4">
        <v>3542</v>
      </c>
      <c r="B3547" s="3" t="str">
        <f>"00331249"</f>
        <v>00331249</v>
      </c>
    </row>
    <row r="3548" spans="1:2" x14ac:dyDescent="0.25">
      <c r="A3548" s="4">
        <v>3543</v>
      </c>
      <c r="B3548" s="3" t="str">
        <f>"00331284"</f>
        <v>00331284</v>
      </c>
    </row>
    <row r="3549" spans="1:2" x14ac:dyDescent="0.25">
      <c r="A3549" s="4">
        <v>3544</v>
      </c>
      <c r="B3549" s="3" t="str">
        <f>"00331317"</f>
        <v>00331317</v>
      </c>
    </row>
    <row r="3550" spans="1:2" x14ac:dyDescent="0.25">
      <c r="A3550" s="4">
        <v>3545</v>
      </c>
      <c r="B3550" s="3" t="str">
        <f>"00331335"</f>
        <v>00331335</v>
      </c>
    </row>
    <row r="3551" spans="1:2" x14ac:dyDescent="0.25">
      <c r="A3551" s="4">
        <v>3546</v>
      </c>
      <c r="B3551" s="3" t="str">
        <f>"00331385"</f>
        <v>00331385</v>
      </c>
    </row>
    <row r="3552" spans="1:2" x14ac:dyDescent="0.25">
      <c r="A3552" s="4">
        <v>3547</v>
      </c>
      <c r="B3552" s="3" t="str">
        <f>"00331402"</f>
        <v>00331402</v>
      </c>
    </row>
    <row r="3553" spans="1:2" x14ac:dyDescent="0.25">
      <c r="A3553" s="4">
        <v>3548</v>
      </c>
      <c r="B3553" s="3" t="str">
        <f>"00331651"</f>
        <v>00331651</v>
      </c>
    </row>
    <row r="3554" spans="1:2" x14ac:dyDescent="0.25">
      <c r="A3554" s="4">
        <v>3549</v>
      </c>
      <c r="B3554" s="3" t="str">
        <f>"00331714"</f>
        <v>00331714</v>
      </c>
    </row>
    <row r="3555" spans="1:2" x14ac:dyDescent="0.25">
      <c r="A3555" s="4">
        <v>3550</v>
      </c>
      <c r="B3555" s="3" t="str">
        <f>"00331751"</f>
        <v>00331751</v>
      </c>
    </row>
    <row r="3556" spans="1:2" x14ac:dyDescent="0.25">
      <c r="A3556" s="4">
        <v>3551</v>
      </c>
      <c r="B3556" s="3" t="str">
        <f>"00331816"</f>
        <v>00331816</v>
      </c>
    </row>
    <row r="3557" spans="1:2" x14ac:dyDescent="0.25">
      <c r="A3557" s="4">
        <v>3552</v>
      </c>
      <c r="B3557" s="3" t="str">
        <f>"00332085"</f>
        <v>00332085</v>
      </c>
    </row>
    <row r="3558" spans="1:2" x14ac:dyDescent="0.25">
      <c r="A3558" s="4">
        <v>3553</v>
      </c>
      <c r="B3558" s="3" t="str">
        <f>"00332243"</f>
        <v>00332243</v>
      </c>
    </row>
    <row r="3559" spans="1:2" x14ac:dyDescent="0.25">
      <c r="A3559" s="4">
        <v>3554</v>
      </c>
      <c r="B3559" s="3" t="str">
        <f>"00332324"</f>
        <v>00332324</v>
      </c>
    </row>
    <row r="3560" spans="1:2" x14ac:dyDescent="0.25">
      <c r="A3560" s="4">
        <v>3555</v>
      </c>
      <c r="B3560" s="3" t="str">
        <f>"00332440"</f>
        <v>00332440</v>
      </c>
    </row>
    <row r="3561" spans="1:2" x14ac:dyDescent="0.25">
      <c r="A3561" s="4">
        <v>3556</v>
      </c>
      <c r="B3561" s="3" t="str">
        <f>"00332476"</f>
        <v>00332476</v>
      </c>
    </row>
    <row r="3562" spans="1:2" x14ac:dyDescent="0.25">
      <c r="A3562" s="4">
        <v>3557</v>
      </c>
      <c r="B3562" s="3" t="str">
        <f>"00332499"</f>
        <v>00332499</v>
      </c>
    </row>
    <row r="3563" spans="1:2" x14ac:dyDescent="0.25">
      <c r="A3563" s="4">
        <v>3558</v>
      </c>
      <c r="B3563" s="3" t="str">
        <f>"00332508"</f>
        <v>00332508</v>
      </c>
    </row>
    <row r="3564" spans="1:2" x14ac:dyDescent="0.25">
      <c r="A3564" s="4">
        <v>3559</v>
      </c>
      <c r="B3564" s="3" t="str">
        <f>"00332549"</f>
        <v>00332549</v>
      </c>
    </row>
    <row r="3565" spans="1:2" x14ac:dyDescent="0.25">
      <c r="A3565" s="4">
        <v>3560</v>
      </c>
      <c r="B3565" s="3" t="str">
        <f>"00332650"</f>
        <v>00332650</v>
      </c>
    </row>
    <row r="3566" spans="1:2" x14ac:dyDescent="0.25">
      <c r="A3566" s="4">
        <v>3561</v>
      </c>
      <c r="B3566" s="3" t="str">
        <f>"00332759"</f>
        <v>00332759</v>
      </c>
    </row>
    <row r="3567" spans="1:2" x14ac:dyDescent="0.25">
      <c r="A3567" s="4">
        <v>3562</v>
      </c>
      <c r="B3567" s="3" t="str">
        <f>"00332820"</f>
        <v>00332820</v>
      </c>
    </row>
    <row r="3568" spans="1:2" x14ac:dyDescent="0.25">
      <c r="A3568" s="4">
        <v>3563</v>
      </c>
      <c r="B3568" s="3" t="str">
        <f>"00332941"</f>
        <v>00332941</v>
      </c>
    </row>
    <row r="3569" spans="1:2" x14ac:dyDescent="0.25">
      <c r="A3569" s="4">
        <v>3564</v>
      </c>
      <c r="B3569" s="3" t="str">
        <f>"00332973"</f>
        <v>00332973</v>
      </c>
    </row>
    <row r="3570" spans="1:2" x14ac:dyDescent="0.25">
      <c r="A3570" s="4">
        <v>3565</v>
      </c>
      <c r="B3570" s="3" t="str">
        <f>"00333058"</f>
        <v>00333058</v>
      </c>
    </row>
    <row r="3571" spans="1:2" x14ac:dyDescent="0.25">
      <c r="A3571" s="4">
        <v>3566</v>
      </c>
      <c r="B3571" s="3" t="str">
        <f>"00333135"</f>
        <v>00333135</v>
      </c>
    </row>
    <row r="3572" spans="1:2" x14ac:dyDescent="0.25">
      <c r="A3572" s="4">
        <v>3567</v>
      </c>
      <c r="B3572" s="3" t="str">
        <f>"00333263"</f>
        <v>00333263</v>
      </c>
    </row>
    <row r="3573" spans="1:2" x14ac:dyDescent="0.25">
      <c r="A3573" s="4">
        <v>3568</v>
      </c>
      <c r="B3573" s="3" t="str">
        <f>"00333340"</f>
        <v>00333340</v>
      </c>
    </row>
    <row r="3574" spans="1:2" x14ac:dyDescent="0.25">
      <c r="A3574" s="4">
        <v>3569</v>
      </c>
      <c r="B3574" s="3" t="str">
        <f>"00333686"</f>
        <v>00333686</v>
      </c>
    </row>
    <row r="3575" spans="1:2" x14ac:dyDescent="0.25">
      <c r="A3575" s="4">
        <v>3570</v>
      </c>
      <c r="B3575" s="3" t="str">
        <f>"00333735"</f>
        <v>00333735</v>
      </c>
    </row>
    <row r="3576" spans="1:2" x14ac:dyDescent="0.25">
      <c r="A3576" s="4">
        <v>3571</v>
      </c>
      <c r="B3576" s="3" t="str">
        <f>"00333738"</f>
        <v>00333738</v>
      </c>
    </row>
    <row r="3577" spans="1:2" x14ac:dyDescent="0.25">
      <c r="A3577" s="4">
        <v>3572</v>
      </c>
      <c r="B3577" s="3" t="str">
        <f>"00333960"</f>
        <v>00333960</v>
      </c>
    </row>
    <row r="3578" spans="1:2" x14ac:dyDescent="0.25">
      <c r="A3578" s="4">
        <v>3573</v>
      </c>
      <c r="B3578" s="3" t="str">
        <f>"00334019"</f>
        <v>00334019</v>
      </c>
    </row>
    <row r="3579" spans="1:2" x14ac:dyDescent="0.25">
      <c r="A3579" s="4">
        <v>3574</v>
      </c>
      <c r="B3579" s="3" t="str">
        <f>"00334156"</f>
        <v>00334156</v>
      </c>
    </row>
    <row r="3580" spans="1:2" x14ac:dyDescent="0.25">
      <c r="A3580" s="4">
        <v>3575</v>
      </c>
      <c r="B3580" s="3" t="str">
        <f>"00334483"</f>
        <v>00334483</v>
      </c>
    </row>
    <row r="3581" spans="1:2" x14ac:dyDescent="0.25">
      <c r="A3581" s="4">
        <v>3576</v>
      </c>
      <c r="B3581" s="3" t="str">
        <f>"00334502"</f>
        <v>00334502</v>
      </c>
    </row>
    <row r="3582" spans="1:2" x14ac:dyDescent="0.25">
      <c r="A3582" s="4">
        <v>3577</v>
      </c>
      <c r="B3582" s="3" t="str">
        <f>"00334532"</f>
        <v>00334532</v>
      </c>
    </row>
    <row r="3583" spans="1:2" x14ac:dyDescent="0.25">
      <c r="A3583" s="4">
        <v>3578</v>
      </c>
      <c r="B3583" s="3" t="str">
        <f>"00334546"</f>
        <v>00334546</v>
      </c>
    </row>
    <row r="3584" spans="1:2" x14ac:dyDescent="0.25">
      <c r="A3584" s="4">
        <v>3579</v>
      </c>
      <c r="B3584" s="3" t="str">
        <f>"00334562"</f>
        <v>00334562</v>
      </c>
    </row>
    <row r="3585" spans="1:2" x14ac:dyDescent="0.25">
      <c r="A3585" s="4">
        <v>3580</v>
      </c>
      <c r="B3585" s="3" t="str">
        <f>"00334662"</f>
        <v>00334662</v>
      </c>
    </row>
    <row r="3586" spans="1:2" x14ac:dyDescent="0.25">
      <c r="A3586" s="4">
        <v>3581</v>
      </c>
      <c r="B3586" s="3" t="str">
        <f>"00334683"</f>
        <v>00334683</v>
      </c>
    </row>
    <row r="3587" spans="1:2" x14ac:dyDescent="0.25">
      <c r="A3587" s="4">
        <v>3582</v>
      </c>
      <c r="B3587" s="3" t="str">
        <f>"00334823"</f>
        <v>00334823</v>
      </c>
    </row>
    <row r="3588" spans="1:2" x14ac:dyDescent="0.25">
      <c r="A3588" s="4">
        <v>3583</v>
      </c>
      <c r="B3588" s="3" t="str">
        <f>"00334844"</f>
        <v>00334844</v>
      </c>
    </row>
    <row r="3589" spans="1:2" x14ac:dyDescent="0.25">
      <c r="A3589" s="4">
        <v>3584</v>
      </c>
      <c r="B3589" s="3" t="str">
        <f>"00334887"</f>
        <v>00334887</v>
      </c>
    </row>
    <row r="3590" spans="1:2" x14ac:dyDescent="0.25">
      <c r="A3590" s="4">
        <v>3585</v>
      </c>
      <c r="B3590" s="3" t="str">
        <f>"00334905"</f>
        <v>00334905</v>
      </c>
    </row>
    <row r="3591" spans="1:2" x14ac:dyDescent="0.25">
      <c r="A3591" s="4">
        <v>3586</v>
      </c>
      <c r="B3591" s="3" t="str">
        <f>"00334944"</f>
        <v>00334944</v>
      </c>
    </row>
    <row r="3592" spans="1:2" x14ac:dyDescent="0.25">
      <c r="A3592" s="4">
        <v>3587</v>
      </c>
      <c r="B3592" s="3" t="str">
        <f>"00335012"</f>
        <v>00335012</v>
      </c>
    </row>
    <row r="3593" spans="1:2" x14ac:dyDescent="0.25">
      <c r="A3593" s="4">
        <v>3588</v>
      </c>
      <c r="B3593" s="3" t="str">
        <f>"00335050"</f>
        <v>00335050</v>
      </c>
    </row>
    <row r="3594" spans="1:2" x14ac:dyDescent="0.25">
      <c r="A3594" s="4">
        <v>3589</v>
      </c>
      <c r="B3594" s="3" t="str">
        <f>"00335192"</f>
        <v>00335192</v>
      </c>
    </row>
    <row r="3595" spans="1:2" x14ac:dyDescent="0.25">
      <c r="A3595" s="4">
        <v>3590</v>
      </c>
      <c r="B3595" s="3" t="str">
        <f>"00335273"</f>
        <v>00335273</v>
      </c>
    </row>
    <row r="3596" spans="1:2" x14ac:dyDescent="0.25">
      <c r="A3596" s="4">
        <v>3591</v>
      </c>
      <c r="B3596" s="3" t="str">
        <f>"00335314"</f>
        <v>00335314</v>
      </c>
    </row>
    <row r="3597" spans="1:2" x14ac:dyDescent="0.25">
      <c r="A3597" s="4">
        <v>3592</v>
      </c>
      <c r="B3597" s="3" t="str">
        <f>"00335323"</f>
        <v>00335323</v>
      </c>
    </row>
    <row r="3598" spans="1:2" x14ac:dyDescent="0.25">
      <c r="A3598" s="4">
        <v>3593</v>
      </c>
      <c r="B3598" s="3" t="str">
        <f>"00335387"</f>
        <v>00335387</v>
      </c>
    </row>
    <row r="3599" spans="1:2" x14ac:dyDescent="0.25">
      <c r="A3599" s="4">
        <v>3594</v>
      </c>
      <c r="B3599" s="3" t="str">
        <f>"00335444"</f>
        <v>00335444</v>
      </c>
    </row>
    <row r="3600" spans="1:2" x14ac:dyDescent="0.25">
      <c r="A3600" s="4">
        <v>3595</v>
      </c>
      <c r="B3600" s="3" t="str">
        <f>"00335534"</f>
        <v>00335534</v>
      </c>
    </row>
    <row r="3601" spans="1:2" x14ac:dyDescent="0.25">
      <c r="A3601" s="4">
        <v>3596</v>
      </c>
      <c r="B3601" s="3" t="str">
        <f>"00336076"</f>
        <v>00336076</v>
      </c>
    </row>
    <row r="3602" spans="1:2" x14ac:dyDescent="0.25">
      <c r="A3602" s="4">
        <v>3597</v>
      </c>
      <c r="B3602" s="3" t="str">
        <f>"00336261"</f>
        <v>00336261</v>
      </c>
    </row>
    <row r="3603" spans="1:2" x14ac:dyDescent="0.25">
      <c r="A3603" s="4">
        <v>3598</v>
      </c>
      <c r="B3603" s="3" t="str">
        <f>"00336391"</f>
        <v>00336391</v>
      </c>
    </row>
    <row r="3604" spans="1:2" x14ac:dyDescent="0.25">
      <c r="A3604" s="4">
        <v>3599</v>
      </c>
      <c r="B3604" s="3" t="str">
        <f>"00336460"</f>
        <v>00336460</v>
      </c>
    </row>
    <row r="3605" spans="1:2" x14ac:dyDescent="0.25">
      <c r="A3605" s="4">
        <v>3600</v>
      </c>
      <c r="B3605" s="3" t="str">
        <f>"00336467"</f>
        <v>00336467</v>
      </c>
    </row>
    <row r="3606" spans="1:2" x14ac:dyDescent="0.25">
      <c r="A3606" s="4">
        <v>3601</v>
      </c>
      <c r="B3606" s="3" t="str">
        <f>"00336625"</f>
        <v>00336625</v>
      </c>
    </row>
    <row r="3607" spans="1:2" x14ac:dyDescent="0.25">
      <c r="A3607" s="4">
        <v>3602</v>
      </c>
      <c r="B3607" s="3" t="str">
        <f>"00336679"</f>
        <v>00336679</v>
      </c>
    </row>
    <row r="3608" spans="1:2" x14ac:dyDescent="0.25">
      <c r="A3608" s="4">
        <v>3603</v>
      </c>
      <c r="B3608" s="3" t="str">
        <f>"00336681"</f>
        <v>00336681</v>
      </c>
    </row>
    <row r="3609" spans="1:2" x14ac:dyDescent="0.25">
      <c r="A3609" s="4">
        <v>3604</v>
      </c>
      <c r="B3609" s="3" t="str">
        <f>"00336758"</f>
        <v>00336758</v>
      </c>
    </row>
    <row r="3610" spans="1:2" x14ac:dyDescent="0.25">
      <c r="A3610" s="4">
        <v>3605</v>
      </c>
      <c r="B3610" s="3" t="str">
        <f>"00336798"</f>
        <v>00336798</v>
      </c>
    </row>
    <row r="3611" spans="1:2" x14ac:dyDescent="0.25">
      <c r="A3611" s="4">
        <v>3606</v>
      </c>
      <c r="B3611" s="3" t="str">
        <f>"00336960"</f>
        <v>00336960</v>
      </c>
    </row>
    <row r="3612" spans="1:2" x14ac:dyDescent="0.25">
      <c r="A3612" s="4">
        <v>3607</v>
      </c>
      <c r="B3612" s="3" t="str">
        <f>"00337068"</f>
        <v>00337068</v>
      </c>
    </row>
    <row r="3613" spans="1:2" x14ac:dyDescent="0.25">
      <c r="A3613" s="4">
        <v>3608</v>
      </c>
      <c r="B3613" s="3" t="str">
        <f>"00337261"</f>
        <v>00337261</v>
      </c>
    </row>
    <row r="3614" spans="1:2" x14ac:dyDescent="0.25">
      <c r="A3614" s="4">
        <v>3609</v>
      </c>
      <c r="B3614" s="3" t="str">
        <f>"00337292"</f>
        <v>00337292</v>
      </c>
    </row>
    <row r="3615" spans="1:2" x14ac:dyDescent="0.25">
      <c r="A3615" s="4">
        <v>3610</v>
      </c>
      <c r="B3615" s="3" t="str">
        <f>"00337366"</f>
        <v>00337366</v>
      </c>
    </row>
    <row r="3616" spans="1:2" x14ac:dyDescent="0.25">
      <c r="A3616" s="4">
        <v>3611</v>
      </c>
      <c r="B3616" s="3" t="str">
        <f>"00337714"</f>
        <v>00337714</v>
      </c>
    </row>
    <row r="3617" spans="1:2" x14ac:dyDescent="0.25">
      <c r="A3617" s="4">
        <v>3612</v>
      </c>
      <c r="B3617" s="3" t="str">
        <f>"00337774"</f>
        <v>00337774</v>
      </c>
    </row>
    <row r="3618" spans="1:2" x14ac:dyDescent="0.25">
      <c r="A3618" s="4">
        <v>3613</v>
      </c>
      <c r="B3618" s="3" t="str">
        <f>"00337843"</f>
        <v>00337843</v>
      </c>
    </row>
    <row r="3619" spans="1:2" x14ac:dyDescent="0.25">
      <c r="A3619" s="4">
        <v>3614</v>
      </c>
      <c r="B3619" s="3" t="str">
        <f>"00338028"</f>
        <v>00338028</v>
      </c>
    </row>
    <row r="3620" spans="1:2" x14ac:dyDescent="0.25">
      <c r="A3620" s="4">
        <v>3615</v>
      </c>
      <c r="B3620" s="3" t="str">
        <f>"00338044"</f>
        <v>00338044</v>
      </c>
    </row>
    <row r="3621" spans="1:2" x14ac:dyDescent="0.25">
      <c r="A3621" s="4">
        <v>3616</v>
      </c>
      <c r="B3621" s="3" t="str">
        <f>"00338075"</f>
        <v>00338075</v>
      </c>
    </row>
    <row r="3622" spans="1:2" x14ac:dyDescent="0.25">
      <c r="A3622" s="4">
        <v>3617</v>
      </c>
      <c r="B3622" s="3" t="str">
        <f>"00338205"</f>
        <v>00338205</v>
      </c>
    </row>
    <row r="3623" spans="1:2" x14ac:dyDescent="0.25">
      <c r="A3623" s="4">
        <v>3618</v>
      </c>
      <c r="B3623" s="3" t="str">
        <f>"00338218"</f>
        <v>00338218</v>
      </c>
    </row>
    <row r="3624" spans="1:2" x14ac:dyDescent="0.25">
      <c r="A3624" s="4">
        <v>3619</v>
      </c>
      <c r="B3624" s="3" t="str">
        <f>"00338270"</f>
        <v>00338270</v>
      </c>
    </row>
    <row r="3625" spans="1:2" x14ac:dyDescent="0.25">
      <c r="A3625" s="4">
        <v>3620</v>
      </c>
      <c r="B3625" s="3" t="str">
        <f>"00338287"</f>
        <v>00338287</v>
      </c>
    </row>
    <row r="3626" spans="1:2" x14ac:dyDescent="0.25">
      <c r="A3626" s="4">
        <v>3621</v>
      </c>
      <c r="B3626" s="3" t="str">
        <f>"00338320"</f>
        <v>00338320</v>
      </c>
    </row>
    <row r="3627" spans="1:2" x14ac:dyDescent="0.25">
      <c r="A3627" s="4">
        <v>3622</v>
      </c>
      <c r="B3627" s="3" t="str">
        <f>"00338463"</f>
        <v>00338463</v>
      </c>
    </row>
    <row r="3628" spans="1:2" x14ac:dyDescent="0.25">
      <c r="A3628" s="4">
        <v>3623</v>
      </c>
      <c r="B3628" s="3" t="str">
        <f>"00338518"</f>
        <v>00338518</v>
      </c>
    </row>
    <row r="3629" spans="1:2" x14ac:dyDescent="0.25">
      <c r="A3629" s="4">
        <v>3624</v>
      </c>
      <c r="B3629" s="3" t="str">
        <f>"00338541"</f>
        <v>00338541</v>
      </c>
    </row>
    <row r="3630" spans="1:2" x14ac:dyDescent="0.25">
      <c r="A3630" s="4">
        <v>3625</v>
      </c>
      <c r="B3630" s="3" t="str">
        <f>"00339136"</f>
        <v>00339136</v>
      </c>
    </row>
    <row r="3631" spans="1:2" x14ac:dyDescent="0.25">
      <c r="A3631" s="4">
        <v>3626</v>
      </c>
      <c r="B3631" s="3" t="str">
        <f>"00339153"</f>
        <v>00339153</v>
      </c>
    </row>
    <row r="3632" spans="1:2" x14ac:dyDescent="0.25">
      <c r="A3632" s="4">
        <v>3627</v>
      </c>
      <c r="B3632" s="3" t="str">
        <f>"00339180"</f>
        <v>00339180</v>
      </c>
    </row>
    <row r="3633" spans="1:2" x14ac:dyDescent="0.25">
      <c r="A3633" s="4">
        <v>3628</v>
      </c>
      <c r="B3633" s="3" t="str">
        <f>"00339269"</f>
        <v>00339269</v>
      </c>
    </row>
    <row r="3634" spans="1:2" x14ac:dyDescent="0.25">
      <c r="A3634" s="4">
        <v>3629</v>
      </c>
      <c r="B3634" s="3" t="str">
        <f>"00339353"</f>
        <v>00339353</v>
      </c>
    </row>
    <row r="3635" spans="1:2" x14ac:dyDescent="0.25">
      <c r="A3635" s="4">
        <v>3630</v>
      </c>
      <c r="B3635" s="3" t="str">
        <f>"00339413"</f>
        <v>00339413</v>
      </c>
    </row>
    <row r="3636" spans="1:2" x14ac:dyDescent="0.25">
      <c r="A3636" s="4">
        <v>3631</v>
      </c>
      <c r="B3636" s="3" t="str">
        <f>"00339421"</f>
        <v>00339421</v>
      </c>
    </row>
    <row r="3637" spans="1:2" x14ac:dyDescent="0.25">
      <c r="A3637" s="4">
        <v>3632</v>
      </c>
      <c r="B3637" s="3" t="str">
        <f>"00339482"</f>
        <v>00339482</v>
      </c>
    </row>
    <row r="3638" spans="1:2" x14ac:dyDescent="0.25">
      <c r="A3638" s="4">
        <v>3633</v>
      </c>
      <c r="B3638" s="3" t="str">
        <f>"00339609"</f>
        <v>00339609</v>
      </c>
    </row>
    <row r="3639" spans="1:2" x14ac:dyDescent="0.25">
      <c r="A3639" s="4">
        <v>3634</v>
      </c>
      <c r="B3639" s="3" t="str">
        <f>"00339633"</f>
        <v>00339633</v>
      </c>
    </row>
    <row r="3640" spans="1:2" x14ac:dyDescent="0.25">
      <c r="A3640" s="4">
        <v>3635</v>
      </c>
      <c r="B3640" s="3" t="str">
        <f>"00339853"</f>
        <v>00339853</v>
      </c>
    </row>
    <row r="3641" spans="1:2" x14ac:dyDescent="0.25">
      <c r="A3641" s="4">
        <v>3636</v>
      </c>
      <c r="B3641" s="3" t="str">
        <f>"00340196"</f>
        <v>00340196</v>
      </c>
    </row>
    <row r="3642" spans="1:2" x14ac:dyDescent="0.25">
      <c r="A3642" s="4">
        <v>3637</v>
      </c>
      <c r="B3642" s="3" t="str">
        <f>"00340373"</f>
        <v>00340373</v>
      </c>
    </row>
    <row r="3643" spans="1:2" x14ac:dyDescent="0.25">
      <c r="A3643" s="4">
        <v>3638</v>
      </c>
      <c r="B3643" s="3" t="str">
        <f>"00340616"</f>
        <v>00340616</v>
      </c>
    </row>
    <row r="3644" spans="1:2" x14ac:dyDescent="0.25">
      <c r="A3644" s="4">
        <v>3639</v>
      </c>
      <c r="B3644" s="3" t="str">
        <f>"00340730"</f>
        <v>00340730</v>
      </c>
    </row>
    <row r="3645" spans="1:2" x14ac:dyDescent="0.25">
      <c r="A3645" s="4">
        <v>3640</v>
      </c>
      <c r="B3645" s="3" t="str">
        <f>"00340820"</f>
        <v>00340820</v>
      </c>
    </row>
    <row r="3646" spans="1:2" x14ac:dyDescent="0.25">
      <c r="A3646" s="4">
        <v>3641</v>
      </c>
      <c r="B3646" s="3" t="str">
        <f>"00340922"</f>
        <v>00340922</v>
      </c>
    </row>
    <row r="3647" spans="1:2" x14ac:dyDescent="0.25">
      <c r="A3647" s="4">
        <v>3642</v>
      </c>
      <c r="B3647" s="3" t="str">
        <f>"00340927"</f>
        <v>00340927</v>
      </c>
    </row>
    <row r="3648" spans="1:2" x14ac:dyDescent="0.25">
      <c r="A3648" s="4">
        <v>3643</v>
      </c>
      <c r="B3648" s="3" t="str">
        <f>"00340966"</f>
        <v>00340966</v>
      </c>
    </row>
    <row r="3649" spans="1:2" x14ac:dyDescent="0.25">
      <c r="A3649" s="4">
        <v>3644</v>
      </c>
      <c r="B3649" s="3" t="str">
        <f>"00341029"</f>
        <v>00341029</v>
      </c>
    </row>
    <row r="3650" spans="1:2" x14ac:dyDescent="0.25">
      <c r="A3650" s="4">
        <v>3645</v>
      </c>
      <c r="B3650" s="3" t="str">
        <f>"00341135"</f>
        <v>00341135</v>
      </c>
    </row>
    <row r="3651" spans="1:2" x14ac:dyDescent="0.25">
      <c r="A3651" s="4">
        <v>3646</v>
      </c>
      <c r="B3651" s="3" t="str">
        <f>"00341408"</f>
        <v>00341408</v>
      </c>
    </row>
    <row r="3652" spans="1:2" x14ac:dyDescent="0.25">
      <c r="A3652" s="4">
        <v>3647</v>
      </c>
      <c r="B3652" s="3" t="str">
        <f>"00341491"</f>
        <v>00341491</v>
      </c>
    </row>
    <row r="3653" spans="1:2" x14ac:dyDescent="0.25">
      <c r="A3653" s="4">
        <v>3648</v>
      </c>
      <c r="B3653" s="3" t="str">
        <f>"00341548"</f>
        <v>00341548</v>
      </c>
    </row>
    <row r="3654" spans="1:2" x14ac:dyDescent="0.25">
      <c r="A3654" s="4">
        <v>3649</v>
      </c>
      <c r="B3654" s="3" t="str">
        <f>"00341757"</f>
        <v>00341757</v>
      </c>
    </row>
    <row r="3655" spans="1:2" x14ac:dyDescent="0.25">
      <c r="A3655" s="4">
        <v>3650</v>
      </c>
      <c r="B3655" s="3" t="str">
        <f>"00341784"</f>
        <v>00341784</v>
      </c>
    </row>
    <row r="3656" spans="1:2" x14ac:dyDescent="0.25">
      <c r="A3656" s="4">
        <v>3651</v>
      </c>
      <c r="B3656" s="3" t="str">
        <f>"00341814"</f>
        <v>00341814</v>
      </c>
    </row>
    <row r="3657" spans="1:2" x14ac:dyDescent="0.25">
      <c r="A3657" s="4">
        <v>3652</v>
      </c>
      <c r="B3657" s="3" t="str">
        <f>"00341896"</f>
        <v>00341896</v>
      </c>
    </row>
    <row r="3658" spans="1:2" x14ac:dyDescent="0.25">
      <c r="A3658" s="4">
        <v>3653</v>
      </c>
      <c r="B3658" s="3" t="str">
        <f>"00341934"</f>
        <v>00341934</v>
      </c>
    </row>
    <row r="3659" spans="1:2" x14ac:dyDescent="0.25">
      <c r="A3659" s="4">
        <v>3654</v>
      </c>
      <c r="B3659" s="3" t="str">
        <f>"00342065"</f>
        <v>00342065</v>
      </c>
    </row>
    <row r="3660" spans="1:2" x14ac:dyDescent="0.25">
      <c r="A3660" s="4">
        <v>3655</v>
      </c>
      <c r="B3660" s="3" t="str">
        <f>"00342195"</f>
        <v>00342195</v>
      </c>
    </row>
    <row r="3661" spans="1:2" x14ac:dyDescent="0.25">
      <c r="A3661" s="4">
        <v>3656</v>
      </c>
      <c r="B3661" s="3" t="str">
        <f>"00342522"</f>
        <v>00342522</v>
      </c>
    </row>
    <row r="3662" spans="1:2" x14ac:dyDescent="0.25">
      <c r="A3662" s="4">
        <v>3657</v>
      </c>
      <c r="B3662" s="3" t="str">
        <f>"00342825"</f>
        <v>00342825</v>
      </c>
    </row>
    <row r="3663" spans="1:2" x14ac:dyDescent="0.25">
      <c r="A3663" s="4">
        <v>3658</v>
      </c>
      <c r="B3663" s="3" t="str">
        <f>"00342883"</f>
        <v>00342883</v>
      </c>
    </row>
    <row r="3664" spans="1:2" x14ac:dyDescent="0.25">
      <c r="A3664" s="4">
        <v>3659</v>
      </c>
      <c r="B3664" s="3" t="str">
        <f>"00342927"</f>
        <v>00342927</v>
      </c>
    </row>
    <row r="3665" spans="1:2" x14ac:dyDescent="0.25">
      <c r="A3665" s="4">
        <v>3660</v>
      </c>
      <c r="B3665" s="3" t="str">
        <f>"00343040"</f>
        <v>00343040</v>
      </c>
    </row>
    <row r="3666" spans="1:2" x14ac:dyDescent="0.25">
      <c r="A3666" s="4">
        <v>3661</v>
      </c>
      <c r="B3666" s="3" t="str">
        <f>"00343158"</f>
        <v>00343158</v>
      </c>
    </row>
    <row r="3667" spans="1:2" x14ac:dyDescent="0.25">
      <c r="A3667" s="4">
        <v>3662</v>
      </c>
      <c r="B3667" s="3" t="str">
        <f>"00343303"</f>
        <v>00343303</v>
      </c>
    </row>
    <row r="3668" spans="1:2" x14ac:dyDescent="0.25">
      <c r="A3668" s="4">
        <v>3663</v>
      </c>
      <c r="B3668" s="3" t="str">
        <f>"00343382"</f>
        <v>00343382</v>
      </c>
    </row>
    <row r="3669" spans="1:2" x14ac:dyDescent="0.25">
      <c r="A3669" s="4">
        <v>3664</v>
      </c>
      <c r="B3669" s="3" t="str">
        <f>"00343656"</f>
        <v>00343656</v>
      </c>
    </row>
    <row r="3670" spans="1:2" x14ac:dyDescent="0.25">
      <c r="A3670" s="4">
        <v>3665</v>
      </c>
      <c r="B3670" s="3" t="str">
        <f>"00343791"</f>
        <v>00343791</v>
      </c>
    </row>
    <row r="3671" spans="1:2" x14ac:dyDescent="0.25">
      <c r="A3671" s="4">
        <v>3666</v>
      </c>
      <c r="B3671" s="3" t="str">
        <f>"00343830"</f>
        <v>00343830</v>
      </c>
    </row>
    <row r="3672" spans="1:2" x14ac:dyDescent="0.25">
      <c r="A3672" s="4">
        <v>3667</v>
      </c>
      <c r="B3672" s="3" t="str">
        <f>"00343896"</f>
        <v>00343896</v>
      </c>
    </row>
    <row r="3673" spans="1:2" x14ac:dyDescent="0.25">
      <c r="A3673" s="4">
        <v>3668</v>
      </c>
      <c r="B3673" s="3" t="str">
        <f>"00343936"</f>
        <v>00343936</v>
      </c>
    </row>
    <row r="3674" spans="1:2" x14ac:dyDescent="0.25">
      <c r="A3674" s="4">
        <v>3669</v>
      </c>
      <c r="B3674" s="3" t="str">
        <f>"00343972"</f>
        <v>00343972</v>
      </c>
    </row>
    <row r="3675" spans="1:2" x14ac:dyDescent="0.25">
      <c r="A3675" s="4">
        <v>3670</v>
      </c>
      <c r="B3675" s="3" t="str">
        <f>"00344036"</f>
        <v>00344036</v>
      </c>
    </row>
    <row r="3676" spans="1:2" x14ac:dyDescent="0.25">
      <c r="A3676" s="4">
        <v>3671</v>
      </c>
      <c r="B3676" s="3" t="str">
        <f>"00344182"</f>
        <v>00344182</v>
      </c>
    </row>
    <row r="3677" spans="1:2" x14ac:dyDescent="0.25">
      <c r="A3677" s="4">
        <v>3672</v>
      </c>
      <c r="B3677" s="3" t="str">
        <f>"00344248"</f>
        <v>00344248</v>
      </c>
    </row>
    <row r="3678" spans="1:2" x14ac:dyDescent="0.25">
      <c r="A3678" s="4">
        <v>3673</v>
      </c>
      <c r="B3678" s="3" t="str">
        <f>"00344297"</f>
        <v>00344297</v>
      </c>
    </row>
    <row r="3679" spans="1:2" x14ac:dyDescent="0.25">
      <c r="A3679" s="4">
        <v>3674</v>
      </c>
      <c r="B3679" s="3" t="str">
        <f>"00344378"</f>
        <v>00344378</v>
      </c>
    </row>
    <row r="3680" spans="1:2" x14ac:dyDescent="0.25">
      <c r="A3680" s="4">
        <v>3675</v>
      </c>
      <c r="B3680" s="3" t="str">
        <f>"00344702"</f>
        <v>00344702</v>
      </c>
    </row>
    <row r="3681" spans="1:2" x14ac:dyDescent="0.25">
      <c r="A3681" s="4">
        <v>3676</v>
      </c>
      <c r="B3681" s="3" t="str">
        <f>"00344720"</f>
        <v>00344720</v>
      </c>
    </row>
    <row r="3682" spans="1:2" x14ac:dyDescent="0.25">
      <c r="A3682" s="4">
        <v>3677</v>
      </c>
      <c r="B3682" s="3" t="str">
        <f>"00344726"</f>
        <v>00344726</v>
      </c>
    </row>
    <row r="3683" spans="1:2" x14ac:dyDescent="0.25">
      <c r="A3683" s="4">
        <v>3678</v>
      </c>
      <c r="B3683" s="3" t="str">
        <f>"00344759"</f>
        <v>00344759</v>
      </c>
    </row>
    <row r="3684" spans="1:2" x14ac:dyDescent="0.25">
      <c r="A3684" s="4">
        <v>3679</v>
      </c>
      <c r="B3684" s="3" t="str">
        <f>"00344765"</f>
        <v>00344765</v>
      </c>
    </row>
    <row r="3685" spans="1:2" x14ac:dyDescent="0.25">
      <c r="A3685" s="4">
        <v>3680</v>
      </c>
      <c r="B3685" s="3" t="str">
        <f>"00344819"</f>
        <v>00344819</v>
      </c>
    </row>
    <row r="3686" spans="1:2" x14ac:dyDescent="0.25">
      <c r="A3686" s="4">
        <v>3681</v>
      </c>
      <c r="B3686" s="3" t="str">
        <f>"00345078"</f>
        <v>00345078</v>
      </c>
    </row>
    <row r="3687" spans="1:2" x14ac:dyDescent="0.25">
      <c r="A3687" s="4">
        <v>3682</v>
      </c>
      <c r="B3687" s="3" t="str">
        <f>"00345328"</f>
        <v>00345328</v>
      </c>
    </row>
    <row r="3688" spans="1:2" x14ac:dyDescent="0.25">
      <c r="A3688" s="4">
        <v>3683</v>
      </c>
      <c r="B3688" s="3" t="str">
        <f>"00345349"</f>
        <v>00345349</v>
      </c>
    </row>
    <row r="3689" spans="1:2" x14ac:dyDescent="0.25">
      <c r="A3689" s="4">
        <v>3684</v>
      </c>
      <c r="B3689" s="3" t="str">
        <f>"00345451"</f>
        <v>00345451</v>
      </c>
    </row>
    <row r="3690" spans="1:2" x14ac:dyDescent="0.25">
      <c r="A3690" s="4">
        <v>3685</v>
      </c>
      <c r="B3690" s="3" t="str">
        <f>"00345486"</f>
        <v>00345486</v>
      </c>
    </row>
    <row r="3691" spans="1:2" x14ac:dyDescent="0.25">
      <c r="A3691" s="4">
        <v>3686</v>
      </c>
      <c r="B3691" s="3" t="str">
        <f>"00345500"</f>
        <v>00345500</v>
      </c>
    </row>
    <row r="3692" spans="1:2" x14ac:dyDescent="0.25">
      <c r="A3692" s="4">
        <v>3687</v>
      </c>
      <c r="B3692" s="3" t="str">
        <f>"00345814"</f>
        <v>00345814</v>
      </c>
    </row>
    <row r="3693" spans="1:2" x14ac:dyDescent="0.25">
      <c r="A3693" s="4">
        <v>3688</v>
      </c>
      <c r="B3693" s="3" t="str">
        <f>"00346401"</f>
        <v>00346401</v>
      </c>
    </row>
    <row r="3694" spans="1:2" x14ac:dyDescent="0.25">
      <c r="A3694" s="4">
        <v>3689</v>
      </c>
      <c r="B3694" s="3" t="str">
        <f>"00346427"</f>
        <v>00346427</v>
      </c>
    </row>
    <row r="3695" spans="1:2" x14ac:dyDescent="0.25">
      <c r="A3695" s="4">
        <v>3690</v>
      </c>
      <c r="B3695" s="3" t="str">
        <f>"00346446"</f>
        <v>00346446</v>
      </c>
    </row>
    <row r="3696" spans="1:2" x14ac:dyDescent="0.25">
      <c r="A3696" s="4">
        <v>3691</v>
      </c>
      <c r="B3696" s="3" t="str">
        <f>"00346459"</f>
        <v>00346459</v>
      </c>
    </row>
    <row r="3697" spans="1:2" x14ac:dyDescent="0.25">
      <c r="A3697" s="4">
        <v>3692</v>
      </c>
      <c r="B3697" s="3" t="str">
        <f>"00346514"</f>
        <v>00346514</v>
      </c>
    </row>
    <row r="3698" spans="1:2" x14ac:dyDescent="0.25">
      <c r="A3698" s="4">
        <v>3693</v>
      </c>
      <c r="B3698" s="3" t="str">
        <f>"00346589"</f>
        <v>00346589</v>
      </c>
    </row>
    <row r="3699" spans="1:2" x14ac:dyDescent="0.25">
      <c r="A3699" s="4">
        <v>3694</v>
      </c>
      <c r="B3699" s="3" t="str">
        <f>"00346610"</f>
        <v>00346610</v>
      </c>
    </row>
    <row r="3700" spans="1:2" x14ac:dyDescent="0.25">
      <c r="A3700" s="4">
        <v>3695</v>
      </c>
      <c r="B3700" s="3" t="str">
        <f>"00346652"</f>
        <v>00346652</v>
      </c>
    </row>
    <row r="3701" spans="1:2" x14ac:dyDescent="0.25">
      <c r="A3701" s="4">
        <v>3696</v>
      </c>
      <c r="B3701" s="3" t="str">
        <f>"00346704"</f>
        <v>00346704</v>
      </c>
    </row>
    <row r="3702" spans="1:2" x14ac:dyDescent="0.25">
      <c r="A3702" s="4">
        <v>3697</v>
      </c>
      <c r="B3702" s="3" t="str">
        <f>"00346709"</f>
        <v>00346709</v>
      </c>
    </row>
    <row r="3703" spans="1:2" x14ac:dyDescent="0.25">
      <c r="A3703" s="4">
        <v>3698</v>
      </c>
      <c r="B3703" s="3" t="str">
        <f>"00346802"</f>
        <v>00346802</v>
      </c>
    </row>
    <row r="3704" spans="1:2" x14ac:dyDescent="0.25">
      <c r="A3704" s="4">
        <v>3699</v>
      </c>
      <c r="B3704" s="3" t="str">
        <f>"00346809"</f>
        <v>00346809</v>
      </c>
    </row>
    <row r="3705" spans="1:2" x14ac:dyDescent="0.25">
      <c r="A3705" s="4">
        <v>3700</v>
      </c>
      <c r="B3705" s="3" t="str">
        <f>"00346875"</f>
        <v>00346875</v>
      </c>
    </row>
    <row r="3706" spans="1:2" x14ac:dyDescent="0.25">
      <c r="A3706" s="4">
        <v>3701</v>
      </c>
      <c r="B3706" s="3" t="str">
        <f>"00346876"</f>
        <v>00346876</v>
      </c>
    </row>
    <row r="3707" spans="1:2" x14ac:dyDescent="0.25">
      <c r="A3707" s="4">
        <v>3702</v>
      </c>
      <c r="B3707" s="3" t="str">
        <f>"00346913"</f>
        <v>00346913</v>
      </c>
    </row>
    <row r="3708" spans="1:2" x14ac:dyDescent="0.25">
      <c r="A3708" s="4">
        <v>3703</v>
      </c>
      <c r="B3708" s="3" t="str">
        <f>"00346966"</f>
        <v>00346966</v>
      </c>
    </row>
    <row r="3709" spans="1:2" x14ac:dyDescent="0.25">
      <c r="A3709" s="4">
        <v>3704</v>
      </c>
      <c r="B3709" s="3" t="str">
        <f>"00347151"</f>
        <v>00347151</v>
      </c>
    </row>
    <row r="3710" spans="1:2" x14ac:dyDescent="0.25">
      <c r="A3710" s="4">
        <v>3705</v>
      </c>
      <c r="B3710" s="3" t="str">
        <f>"00347358"</f>
        <v>00347358</v>
      </c>
    </row>
    <row r="3711" spans="1:2" x14ac:dyDescent="0.25">
      <c r="A3711" s="4">
        <v>3706</v>
      </c>
      <c r="B3711" s="3" t="str">
        <f>"00347414"</f>
        <v>00347414</v>
      </c>
    </row>
    <row r="3712" spans="1:2" x14ac:dyDescent="0.25">
      <c r="A3712" s="4">
        <v>3707</v>
      </c>
      <c r="B3712" s="3" t="str">
        <f>"00347461"</f>
        <v>00347461</v>
      </c>
    </row>
    <row r="3713" spans="1:2" x14ac:dyDescent="0.25">
      <c r="A3713" s="4">
        <v>3708</v>
      </c>
      <c r="B3713" s="3" t="str">
        <f>"00347493"</f>
        <v>00347493</v>
      </c>
    </row>
    <row r="3714" spans="1:2" x14ac:dyDescent="0.25">
      <c r="A3714" s="4">
        <v>3709</v>
      </c>
      <c r="B3714" s="3" t="str">
        <f>"00347502"</f>
        <v>00347502</v>
      </c>
    </row>
    <row r="3715" spans="1:2" x14ac:dyDescent="0.25">
      <c r="A3715" s="4">
        <v>3710</v>
      </c>
      <c r="B3715" s="3" t="str">
        <f>"00347519"</f>
        <v>00347519</v>
      </c>
    </row>
    <row r="3716" spans="1:2" x14ac:dyDescent="0.25">
      <c r="A3716" s="4">
        <v>3711</v>
      </c>
      <c r="B3716" s="3" t="str">
        <f>"00347701"</f>
        <v>00347701</v>
      </c>
    </row>
    <row r="3717" spans="1:2" x14ac:dyDescent="0.25">
      <c r="A3717" s="4">
        <v>3712</v>
      </c>
      <c r="B3717" s="3" t="str">
        <f>"00348080"</f>
        <v>00348080</v>
      </c>
    </row>
    <row r="3718" spans="1:2" x14ac:dyDescent="0.25">
      <c r="A3718" s="4">
        <v>3713</v>
      </c>
      <c r="B3718" s="3" t="str">
        <f>"00348083"</f>
        <v>00348083</v>
      </c>
    </row>
    <row r="3719" spans="1:2" x14ac:dyDescent="0.25">
      <c r="A3719" s="4">
        <v>3714</v>
      </c>
      <c r="B3719" s="3" t="str">
        <f>"00348281"</f>
        <v>00348281</v>
      </c>
    </row>
    <row r="3720" spans="1:2" x14ac:dyDescent="0.25">
      <c r="A3720" s="4">
        <v>3715</v>
      </c>
      <c r="B3720" s="3" t="str">
        <f>"00348282"</f>
        <v>00348282</v>
      </c>
    </row>
    <row r="3721" spans="1:2" x14ac:dyDescent="0.25">
      <c r="A3721" s="4">
        <v>3716</v>
      </c>
      <c r="B3721" s="3" t="str">
        <f>"00348314"</f>
        <v>00348314</v>
      </c>
    </row>
    <row r="3722" spans="1:2" x14ac:dyDescent="0.25">
      <c r="A3722" s="4">
        <v>3717</v>
      </c>
      <c r="B3722" s="3" t="str">
        <f>"00348413"</f>
        <v>00348413</v>
      </c>
    </row>
    <row r="3723" spans="1:2" x14ac:dyDescent="0.25">
      <c r="A3723" s="4">
        <v>3718</v>
      </c>
      <c r="B3723" s="3" t="str">
        <f>"00348459"</f>
        <v>00348459</v>
      </c>
    </row>
    <row r="3724" spans="1:2" x14ac:dyDescent="0.25">
      <c r="A3724" s="4">
        <v>3719</v>
      </c>
      <c r="B3724" s="3" t="str">
        <f>"00348542"</f>
        <v>00348542</v>
      </c>
    </row>
    <row r="3725" spans="1:2" x14ac:dyDescent="0.25">
      <c r="A3725" s="4">
        <v>3720</v>
      </c>
      <c r="B3725" s="3" t="str">
        <f>"00348591"</f>
        <v>00348591</v>
      </c>
    </row>
    <row r="3726" spans="1:2" x14ac:dyDescent="0.25">
      <c r="A3726" s="4">
        <v>3721</v>
      </c>
      <c r="B3726" s="3" t="str">
        <f>"00348699"</f>
        <v>00348699</v>
      </c>
    </row>
    <row r="3727" spans="1:2" x14ac:dyDescent="0.25">
      <c r="A3727" s="4">
        <v>3722</v>
      </c>
      <c r="B3727" s="3" t="str">
        <f>"00348835"</f>
        <v>00348835</v>
      </c>
    </row>
    <row r="3728" spans="1:2" x14ac:dyDescent="0.25">
      <c r="A3728" s="4">
        <v>3723</v>
      </c>
      <c r="B3728" s="3" t="str">
        <f>"00348837"</f>
        <v>00348837</v>
      </c>
    </row>
    <row r="3729" spans="1:2" x14ac:dyDescent="0.25">
      <c r="A3729" s="4">
        <v>3724</v>
      </c>
      <c r="B3729" s="3" t="str">
        <f>"00348877"</f>
        <v>00348877</v>
      </c>
    </row>
    <row r="3730" spans="1:2" x14ac:dyDescent="0.25">
      <c r="A3730" s="4">
        <v>3725</v>
      </c>
      <c r="B3730" s="3" t="str">
        <f>"00348911"</f>
        <v>00348911</v>
      </c>
    </row>
    <row r="3731" spans="1:2" x14ac:dyDescent="0.25">
      <c r="A3731" s="4">
        <v>3726</v>
      </c>
      <c r="B3731" s="3" t="str">
        <f>"00348951"</f>
        <v>00348951</v>
      </c>
    </row>
    <row r="3732" spans="1:2" x14ac:dyDescent="0.25">
      <c r="A3732" s="4">
        <v>3727</v>
      </c>
      <c r="B3732" s="3" t="str">
        <f>"00348957"</f>
        <v>00348957</v>
      </c>
    </row>
    <row r="3733" spans="1:2" x14ac:dyDescent="0.25">
      <c r="A3733" s="4">
        <v>3728</v>
      </c>
      <c r="B3733" s="3" t="str">
        <f>"00348960"</f>
        <v>00348960</v>
      </c>
    </row>
    <row r="3734" spans="1:2" x14ac:dyDescent="0.25">
      <c r="A3734" s="4">
        <v>3729</v>
      </c>
      <c r="B3734" s="3" t="str">
        <f>"00348965"</f>
        <v>00348965</v>
      </c>
    </row>
    <row r="3735" spans="1:2" x14ac:dyDescent="0.25">
      <c r="A3735" s="4">
        <v>3730</v>
      </c>
      <c r="B3735" s="3" t="str">
        <f>"00349025"</f>
        <v>00349025</v>
      </c>
    </row>
    <row r="3736" spans="1:2" x14ac:dyDescent="0.25">
      <c r="A3736" s="4">
        <v>3731</v>
      </c>
      <c r="B3736" s="3" t="str">
        <f>"00349093"</f>
        <v>00349093</v>
      </c>
    </row>
    <row r="3737" spans="1:2" x14ac:dyDescent="0.25">
      <c r="A3737" s="4">
        <v>3732</v>
      </c>
      <c r="B3737" s="3" t="str">
        <f>"00349136"</f>
        <v>00349136</v>
      </c>
    </row>
    <row r="3738" spans="1:2" x14ac:dyDescent="0.25">
      <c r="A3738" s="4">
        <v>3733</v>
      </c>
      <c r="B3738" s="3" t="str">
        <f>"00349198"</f>
        <v>00349198</v>
      </c>
    </row>
    <row r="3739" spans="1:2" x14ac:dyDescent="0.25">
      <c r="A3739" s="4">
        <v>3734</v>
      </c>
      <c r="B3739" s="3" t="str">
        <f>"00349291"</f>
        <v>00349291</v>
      </c>
    </row>
    <row r="3740" spans="1:2" x14ac:dyDescent="0.25">
      <c r="A3740" s="4">
        <v>3735</v>
      </c>
      <c r="B3740" s="3" t="str">
        <f>"00349599"</f>
        <v>00349599</v>
      </c>
    </row>
    <row r="3741" spans="1:2" x14ac:dyDescent="0.25">
      <c r="A3741" s="4">
        <v>3736</v>
      </c>
      <c r="B3741" s="3" t="str">
        <f>"00349709"</f>
        <v>00349709</v>
      </c>
    </row>
    <row r="3742" spans="1:2" x14ac:dyDescent="0.25">
      <c r="A3742" s="4">
        <v>3737</v>
      </c>
      <c r="B3742" s="3" t="str">
        <f>"00349787"</f>
        <v>00349787</v>
      </c>
    </row>
    <row r="3743" spans="1:2" x14ac:dyDescent="0.25">
      <c r="A3743" s="4">
        <v>3738</v>
      </c>
      <c r="B3743" s="3" t="str">
        <f>"00349943"</f>
        <v>00349943</v>
      </c>
    </row>
    <row r="3744" spans="1:2" x14ac:dyDescent="0.25">
      <c r="A3744" s="4">
        <v>3739</v>
      </c>
      <c r="B3744" s="3" t="str">
        <f>"00350055"</f>
        <v>00350055</v>
      </c>
    </row>
    <row r="3745" spans="1:2" x14ac:dyDescent="0.25">
      <c r="A3745" s="4">
        <v>3740</v>
      </c>
      <c r="B3745" s="3" t="str">
        <f>"00350087"</f>
        <v>00350087</v>
      </c>
    </row>
    <row r="3746" spans="1:2" x14ac:dyDescent="0.25">
      <c r="A3746" s="4">
        <v>3741</v>
      </c>
      <c r="B3746" s="3" t="str">
        <f>"00350092"</f>
        <v>00350092</v>
      </c>
    </row>
    <row r="3747" spans="1:2" x14ac:dyDescent="0.25">
      <c r="A3747" s="4">
        <v>3742</v>
      </c>
      <c r="B3747" s="3" t="str">
        <f>"00350279"</f>
        <v>00350279</v>
      </c>
    </row>
    <row r="3748" spans="1:2" x14ac:dyDescent="0.25">
      <c r="A3748" s="4">
        <v>3743</v>
      </c>
      <c r="B3748" s="3" t="str">
        <f>"00350292"</f>
        <v>00350292</v>
      </c>
    </row>
    <row r="3749" spans="1:2" x14ac:dyDescent="0.25">
      <c r="A3749" s="4">
        <v>3744</v>
      </c>
      <c r="B3749" s="3" t="str">
        <f>"00350306"</f>
        <v>00350306</v>
      </c>
    </row>
    <row r="3750" spans="1:2" x14ac:dyDescent="0.25">
      <c r="A3750" s="4">
        <v>3745</v>
      </c>
      <c r="B3750" s="3" t="str">
        <f>"00350374"</f>
        <v>00350374</v>
      </c>
    </row>
    <row r="3751" spans="1:2" x14ac:dyDescent="0.25">
      <c r="A3751" s="4">
        <v>3746</v>
      </c>
      <c r="B3751" s="3" t="str">
        <f>"00350381"</f>
        <v>00350381</v>
      </c>
    </row>
    <row r="3752" spans="1:2" x14ac:dyDescent="0.25">
      <c r="A3752" s="4">
        <v>3747</v>
      </c>
      <c r="B3752" s="3" t="str">
        <f>"00350423"</f>
        <v>00350423</v>
      </c>
    </row>
    <row r="3753" spans="1:2" x14ac:dyDescent="0.25">
      <c r="A3753" s="4">
        <v>3748</v>
      </c>
      <c r="B3753" s="3" t="str">
        <f>"00350493"</f>
        <v>00350493</v>
      </c>
    </row>
    <row r="3754" spans="1:2" x14ac:dyDescent="0.25">
      <c r="A3754" s="4">
        <v>3749</v>
      </c>
      <c r="B3754" s="3" t="str">
        <f>"00350542"</f>
        <v>00350542</v>
      </c>
    </row>
    <row r="3755" spans="1:2" x14ac:dyDescent="0.25">
      <c r="A3755" s="4">
        <v>3750</v>
      </c>
      <c r="B3755" s="3" t="str">
        <f>"00350827"</f>
        <v>00350827</v>
      </c>
    </row>
    <row r="3756" spans="1:2" x14ac:dyDescent="0.25">
      <c r="A3756" s="4">
        <v>3751</v>
      </c>
      <c r="B3756" s="3" t="str">
        <f>"00351063"</f>
        <v>00351063</v>
      </c>
    </row>
    <row r="3757" spans="1:2" x14ac:dyDescent="0.25">
      <c r="A3757" s="4">
        <v>3752</v>
      </c>
      <c r="B3757" s="3" t="str">
        <f>"00351065"</f>
        <v>00351065</v>
      </c>
    </row>
    <row r="3758" spans="1:2" x14ac:dyDescent="0.25">
      <c r="A3758" s="4">
        <v>3753</v>
      </c>
      <c r="B3758" s="3" t="str">
        <f>"00351066"</f>
        <v>00351066</v>
      </c>
    </row>
    <row r="3759" spans="1:2" x14ac:dyDescent="0.25">
      <c r="A3759" s="4">
        <v>3754</v>
      </c>
      <c r="B3759" s="3" t="str">
        <f>"00351161"</f>
        <v>00351161</v>
      </c>
    </row>
    <row r="3760" spans="1:2" x14ac:dyDescent="0.25">
      <c r="A3760" s="4">
        <v>3755</v>
      </c>
      <c r="B3760" s="3" t="str">
        <f>"00351162"</f>
        <v>00351162</v>
      </c>
    </row>
    <row r="3761" spans="1:2" x14ac:dyDescent="0.25">
      <c r="A3761" s="4">
        <v>3756</v>
      </c>
      <c r="B3761" s="3" t="str">
        <f>"00351218"</f>
        <v>00351218</v>
      </c>
    </row>
    <row r="3762" spans="1:2" x14ac:dyDescent="0.25">
      <c r="A3762" s="4">
        <v>3757</v>
      </c>
      <c r="B3762" s="3" t="str">
        <f>"00351240"</f>
        <v>00351240</v>
      </c>
    </row>
    <row r="3763" spans="1:2" x14ac:dyDescent="0.25">
      <c r="A3763" s="4">
        <v>3758</v>
      </c>
      <c r="B3763" s="3" t="str">
        <f>"00351246"</f>
        <v>00351246</v>
      </c>
    </row>
    <row r="3764" spans="1:2" x14ac:dyDescent="0.25">
      <c r="A3764" s="4">
        <v>3759</v>
      </c>
      <c r="B3764" s="3" t="str">
        <f>"00351375"</f>
        <v>00351375</v>
      </c>
    </row>
    <row r="3765" spans="1:2" x14ac:dyDescent="0.25">
      <c r="A3765" s="4">
        <v>3760</v>
      </c>
      <c r="B3765" s="3" t="str">
        <f>"00351470"</f>
        <v>00351470</v>
      </c>
    </row>
    <row r="3766" spans="1:2" x14ac:dyDescent="0.25">
      <c r="A3766" s="4">
        <v>3761</v>
      </c>
      <c r="B3766" s="3" t="str">
        <f>"00351493"</f>
        <v>00351493</v>
      </c>
    </row>
    <row r="3767" spans="1:2" x14ac:dyDescent="0.25">
      <c r="A3767" s="4">
        <v>3762</v>
      </c>
      <c r="B3767" s="3" t="str">
        <f>"00351517"</f>
        <v>00351517</v>
      </c>
    </row>
    <row r="3768" spans="1:2" x14ac:dyDescent="0.25">
      <c r="A3768" s="4">
        <v>3763</v>
      </c>
      <c r="B3768" s="3" t="str">
        <f>"00351749"</f>
        <v>00351749</v>
      </c>
    </row>
    <row r="3769" spans="1:2" x14ac:dyDescent="0.25">
      <c r="A3769" s="4">
        <v>3764</v>
      </c>
      <c r="B3769" s="3" t="str">
        <f>"00351768"</f>
        <v>00351768</v>
      </c>
    </row>
    <row r="3770" spans="1:2" x14ac:dyDescent="0.25">
      <c r="A3770" s="4">
        <v>3765</v>
      </c>
      <c r="B3770" s="3" t="str">
        <f>"00351785"</f>
        <v>00351785</v>
      </c>
    </row>
    <row r="3771" spans="1:2" x14ac:dyDescent="0.25">
      <c r="A3771" s="4">
        <v>3766</v>
      </c>
      <c r="B3771" s="3" t="str">
        <f>"00351971"</f>
        <v>00351971</v>
      </c>
    </row>
    <row r="3772" spans="1:2" x14ac:dyDescent="0.25">
      <c r="A3772" s="4">
        <v>3767</v>
      </c>
      <c r="B3772" s="3" t="str">
        <f>"00352050"</f>
        <v>00352050</v>
      </c>
    </row>
    <row r="3773" spans="1:2" x14ac:dyDescent="0.25">
      <c r="A3773" s="4">
        <v>3768</v>
      </c>
      <c r="B3773" s="3" t="str">
        <f>"00352101"</f>
        <v>00352101</v>
      </c>
    </row>
    <row r="3774" spans="1:2" x14ac:dyDescent="0.25">
      <c r="A3774" s="4">
        <v>3769</v>
      </c>
      <c r="B3774" s="3" t="str">
        <f>"00352343"</f>
        <v>00352343</v>
      </c>
    </row>
    <row r="3775" spans="1:2" x14ac:dyDescent="0.25">
      <c r="A3775" s="4">
        <v>3770</v>
      </c>
      <c r="B3775" s="3" t="str">
        <f>"00352358"</f>
        <v>00352358</v>
      </c>
    </row>
    <row r="3776" spans="1:2" x14ac:dyDescent="0.25">
      <c r="A3776" s="4">
        <v>3771</v>
      </c>
      <c r="B3776" s="3" t="str">
        <f>"00352368"</f>
        <v>00352368</v>
      </c>
    </row>
    <row r="3777" spans="1:2" x14ac:dyDescent="0.25">
      <c r="A3777" s="4">
        <v>3772</v>
      </c>
      <c r="B3777" s="3" t="str">
        <f>"00352385"</f>
        <v>00352385</v>
      </c>
    </row>
    <row r="3778" spans="1:2" x14ac:dyDescent="0.25">
      <c r="A3778" s="4">
        <v>3773</v>
      </c>
      <c r="B3778" s="3" t="str">
        <f>"00353068"</f>
        <v>00353068</v>
      </c>
    </row>
    <row r="3779" spans="1:2" x14ac:dyDescent="0.25">
      <c r="A3779" s="4">
        <v>3774</v>
      </c>
      <c r="B3779" s="3" t="str">
        <f>"00353099"</f>
        <v>00353099</v>
      </c>
    </row>
    <row r="3780" spans="1:2" x14ac:dyDescent="0.25">
      <c r="A3780" s="4">
        <v>3775</v>
      </c>
      <c r="B3780" s="3" t="str">
        <f>"00353146"</f>
        <v>00353146</v>
      </c>
    </row>
    <row r="3781" spans="1:2" x14ac:dyDescent="0.25">
      <c r="A3781" s="4">
        <v>3776</v>
      </c>
      <c r="B3781" s="3" t="str">
        <f>"00353285"</f>
        <v>00353285</v>
      </c>
    </row>
    <row r="3782" spans="1:2" x14ac:dyDescent="0.25">
      <c r="A3782" s="4">
        <v>3777</v>
      </c>
      <c r="B3782" s="3" t="str">
        <f>"00353329"</f>
        <v>00353329</v>
      </c>
    </row>
    <row r="3783" spans="1:2" x14ac:dyDescent="0.25">
      <c r="A3783" s="4">
        <v>3778</v>
      </c>
      <c r="B3783" s="3" t="str">
        <f>"00353343"</f>
        <v>00353343</v>
      </c>
    </row>
    <row r="3784" spans="1:2" x14ac:dyDescent="0.25">
      <c r="A3784" s="4">
        <v>3779</v>
      </c>
      <c r="B3784" s="3" t="str">
        <f>"00353573"</f>
        <v>00353573</v>
      </c>
    </row>
    <row r="3785" spans="1:2" x14ac:dyDescent="0.25">
      <c r="A3785" s="4">
        <v>3780</v>
      </c>
      <c r="B3785" s="3" t="str">
        <f>"00353756"</f>
        <v>00353756</v>
      </c>
    </row>
    <row r="3786" spans="1:2" x14ac:dyDescent="0.25">
      <c r="A3786" s="4">
        <v>3781</v>
      </c>
      <c r="B3786" s="3" t="str">
        <f>"00353943"</f>
        <v>00353943</v>
      </c>
    </row>
    <row r="3787" spans="1:2" x14ac:dyDescent="0.25">
      <c r="A3787" s="4">
        <v>3782</v>
      </c>
      <c r="B3787" s="3" t="str">
        <f>"00353998"</f>
        <v>00353998</v>
      </c>
    </row>
    <row r="3788" spans="1:2" x14ac:dyDescent="0.25">
      <c r="A3788" s="4">
        <v>3783</v>
      </c>
      <c r="B3788" s="3" t="str">
        <f>"00354004"</f>
        <v>00354004</v>
      </c>
    </row>
    <row r="3789" spans="1:2" x14ac:dyDescent="0.25">
      <c r="A3789" s="4">
        <v>3784</v>
      </c>
      <c r="B3789" s="3" t="str">
        <f>"00354049"</f>
        <v>00354049</v>
      </c>
    </row>
    <row r="3790" spans="1:2" x14ac:dyDescent="0.25">
      <c r="A3790" s="4">
        <v>3785</v>
      </c>
      <c r="B3790" s="3" t="str">
        <f>"00354050"</f>
        <v>00354050</v>
      </c>
    </row>
    <row r="3791" spans="1:2" x14ac:dyDescent="0.25">
      <c r="A3791" s="4">
        <v>3786</v>
      </c>
      <c r="B3791" s="3" t="str">
        <f>"00354057"</f>
        <v>00354057</v>
      </c>
    </row>
    <row r="3792" spans="1:2" x14ac:dyDescent="0.25">
      <c r="A3792" s="4">
        <v>3787</v>
      </c>
      <c r="B3792" s="3" t="str">
        <f>"00354115"</f>
        <v>00354115</v>
      </c>
    </row>
    <row r="3793" spans="1:2" x14ac:dyDescent="0.25">
      <c r="A3793" s="4">
        <v>3788</v>
      </c>
      <c r="B3793" s="3" t="str">
        <f>"00354145"</f>
        <v>00354145</v>
      </c>
    </row>
    <row r="3794" spans="1:2" x14ac:dyDescent="0.25">
      <c r="A3794" s="4">
        <v>3789</v>
      </c>
      <c r="B3794" s="3" t="str">
        <f>"00354245"</f>
        <v>00354245</v>
      </c>
    </row>
    <row r="3795" spans="1:2" x14ac:dyDescent="0.25">
      <c r="A3795" s="4">
        <v>3790</v>
      </c>
      <c r="B3795" s="3" t="str">
        <f>"00354266"</f>
        <v>00354266</v>
      </c>
    </row>
    <row r="3796" spans="1:2" x14ac:dyDescent="0.25">
      <c r="A3796" s="4">
        <v>3791</v>
      </c>
      <c r="B3796" s="3" t="str">
        <f>"00354308"</f>
        <v>00354308</v>
      </c>
    </row>
    <row r="3797" spans="1:2" x14ac:dyDescent="0.25">
      <c r="A3797" s="4">
        <v>3792</v>
      </c>
      <c r="B3797" s="3" t="str">
        <f>"00354311"</f>
        <v>00354311</v>
      </c>
    </row>
    <row r="3798" spans="1:2" x14ac:dyDescent="0.25">
      <c r="A3798" s="4">
        <v>3793</v>
      </c>
      <c r="B3798" s="3" t="str">
        <f>"00354313"</f>
        <v>00354313</v>
      </c>
    </row>
    <row r="3799" spans="1:2" x14ac:dyDescent="0.25">
      <c r="A3799" s="4">
        <v>3794</v>
      </c>
      <c r="B3799" s="3" t="str">
        <f>"00354702"</f>
        <v>00354702</v>
      </c>
    </row>
    <row r="3800" spans="1:2" x14ac:dyDescent="0.25">
      <c r="A3800" s="4">
        <v>3795</v>
      </c>
      <c r="B3800" s="3" t="str">
        <f>"00354716"</f>
        <v>00354716</v>
      </c>
    </row>
    <row r="3801" spans="1:2" x14ac:dyDescent="0.25">
      <c r="A3801" s="4">
        <v>3796</v>
      </c>
      <c r="B3801" s="3" t="str">
        <f>"00354783"</f>
        <v>00354783</v>
      </c>
    </row>
    <row r="3802" spans="1:2" x14ac:dyDescent="0.25">
      <c r="A3802" s="4">
        <v>3797</v>
      </c>
      <c r="B3802" s="3" t="str">
        <f>"00354809"</f>
        <v>00354809</v>
      </c>
    </row>
    <row r="3803" spans="1:2" x14ac:dyDescent="0.25">
      <c r="A3803" s="4">
        <v>3798</v>
      </c>
      <c r="B3803" s="3" t="str">
        <f>"00354825"</f>
        <v>00354825</v>
      </c>
    </row>
    <row r="3804" spans="1:2" x14ac:dyDescent="0.25">
      <c r="A3804" s="4">
        <v>3799</v>
      </c>
      <c r="B3804" s="3" t="str">
        <f>"00354836"</f>
        <v>00354836</v>
      </c>
    </row>
    <row r="3805" spans="1:2" x14ac:dyDescent="0.25">
      <c r="A3805" s="4">
        <v>3800</v>
      </c>
      <c r="B3805" s="3" t="str">
        <f>"00354840"</f>
        <v>00354840</v>
      </c>
    </row>
    <row r="3806" spans="1:2" x14ac:dyDescent="0.25">
      <c r="A3806" s="4">
        <v>3801</v>
      </c>
      <c r="B3806" s="3" t="str">
        <f>"00355007"</f>
        <v>00355007</v>
      </c>
    </row>
    <row r="3807" spans="1:2" x14ac:dyDescent="0.25">
      <c r="A3807" s="4">
        <v>3802</v>
      </c>
      <c r="B3807" s="3" t="str">
        <f>"00355029"</f>
        <v>00355029</v>
      </c>
    </row>
    <row r="3808" spans="1:2" x14ac:dyDescent="0.25">
      <c r="A3808" s="4">
        <v>3803</v>
      </c>
      <c r="B3808" s="3" t="str">
        <f>"00355091"</f>
        <v>00355091</v>
      </c>
    </row>
    <row r="3809" spans="1:2" x14ac:dyDescent="0.25">
      <c r="A3809" s="4">
        <v>3804</v>
      </c>
      <c r="B3809" s="3" t="str">
        <f>"00355107"</f>
        <v>00355107</v>
      </c>
    </row>
    <row r="3810" spans="1:2" x14ac:dyDescent="0.25">
      <c r="A3810" s="4">
        <v>3805</v>
      </c>
      <c r="B3810" s="3" t="str">
        <f>"00355142"</f>
        <v>00355142</v>
      </c>
    </row>
    <row r="3811" spans="1:2" x14ac:dyDescent="0.25">
      <c r="A3811" s="4">
        <v>3806</v>
      </c>
      <c r="B3811" s="3" t="str">
        <f>"00355148"</f>
        <v>00355148</v>
      </c>
    </row>
    <row r="3812" spans="1:2" x14ac:dyDescent="0.25">
      <c r="A3812" s="4">
        <v>3807</v>
      </c>
      <c r="B3812" s="3" t="str">
        <f>"00355234"</f>
        <v>00355234</v>
      </c>
    </row>
    <row r="3813" spans="1:2" x14ac:dyDescent="0.25">
      <c r="A3813" s="4">
        <v>3808</v>
      </c>
      <c r="B3813" s="3" t="str">
        <f>"00355288"</f>
        <v>00355288</v>
      </c>
    </row>
    <row r="3814" spans="1:2" x14ac:dyDescent="0.25">
      <c r="A3814" s="4">
        <v>3809</v>
      </c>
      <c r="B3814" s="3" t="str">
        <f>"00355323"</f>
        <v>00355323</v>
      </c>
    </row>
    <row r="3815" spans="1:2" x14ac:dyDescent="0.25">
      <c r="A3815" s="4">
        <v>3810</v>
      </c>
      <c r="B3815" s="3" t="str">
        <f>"00355419"</f>
        <v>00355419</v>
      </c>
    </row>
    <row r="3816" spans="1:2" x14ac:dyDescent="0.25">
      <c r="A3816" s="4">
        <v>3811</v>
      </c>
      <c r="B3816" s="3" t="str">
        <f>"00355560"</f>
        <v>00355560</v>
      </c>
    </row>
    <row r="3817" spans="1:2" x14ac:dyDescent="0.25">
      <c r="A3817" s="4">
        <v>3812</v>
      </c>
      <c r="B3817" s="3" t="str">
        <f>"00355646"</f>
        <v>00355646</v>
      </c>
    </row>
    <row r="3818" spans="1:2" x14ac:dyDescent="0.25">
      <c r="A3818" s="4">
        <v>3813</v>
      </c>
      <c r="B3818" s="3" t="str">
        <f>"00355718"</f>
        <v>00355718</v>
      </c>
    </row>
    <row r="3819" spans="1:2" x14ac:dyDescent="0.25">
      <c r="A3819" s="4">
        <v>3814</v>
      </c>
      <c r="B3819" s="3" t="str">
        <f>"00355751"</f>
        <v>00355751</v>
      </c>
    </row>
    <row r="3820" spans="1:2" x14ac:dyDescent="0.25">
      <c r="A3820" s="4">
        <v>3815</v>
      </c>
      <c r="B3820" s="3" t="str">
        <f>"00355798"</f>
        <v>00355798</v>
      </c>
    </row>
    <row r="3821" spans="1:2" x14ac:dyDescent="0.25">
      <c r="A3821" s="4">
        <v>3816</v>
      </c>
      <c r="B3821" s="3" t="str">
        <f>"00355818"</f>
        <v>00355818</v>
      </c>
    </row>
    <row r="3822" spans="1:2" x14ac:dyDescent="0.25">
      <c r="A3822" s="4">
        <v>3817</v>
      </c>
      <c r="B3822" s="3" t="str">
        <f>"00355834"</f>
        <v>00355834</v>
      </c>
    </row>
    <row r="3823" spans="1:2" x14ac:dyDescent="0.25">
      <c r="A3823" s="4">
        <v>3818</v>
      </c>
      <c r="B3823" s="3" t="str">
        <f>"00355915"</f>
        <v>00355915</v>
      </c>
    </row>
    <row r="3824" spans="1:2" x14ac:dyDescent="0.25">
      <c r="A3824" s="4">
        <v>3819</v>
      </c>
      <c r="B3824" s="3" t="str">
        <f>"00355938"</f>
        <v>00355938</v>
      </c>
    </row>
    <row r="3825" spans="1:2" x14ac:dyDescent="0.25">
      <c r="A3825" s="4">
        <v>3820</v>
      </c>
      <c r="B3825" s="3" t="str">
        <f>"00355987"</f>
        <v>00355987</v>
      </c>
    </row>
    <row r="3826" spans="1:2" x14ac:dyDescent="0.25">
      <c r="A3826" s="4">
        <v>3821</v>
      </c>
      <c r="B3826" s="3" t="str">
        <f>"00356018"</f>
        <v>00356018</v>
      </c>
    </row>
    <row r="3827" spans="1:2" x14ac:dyDescent="0.25">
      <c r="A3827" s="4">
        <v>3822</v>
      </c>
      <c r="B3827" s="3" t="str">
        <f>"00356191"</f>
        <v>00356191</v>
      </c>
    </row>
    <row r="3828" spans="1:2" x14ac:dyDescent="0.25">
      <c r="A3828" s="4">
        <v>3823</v>
      </c>
      <c r="B3828" s="3" t="str">
        <f>"00356217"</f>
        <v>00356217</v>
      </c>
    </row>
    <row r="3829" spans="1:2" x14ac:dyDescent="0.25">
      <c r="A3829" s="4">
        <v>3824</v>
      </c>
      <c r="B3829" s="3" t="str">
        <f>"00356315"</f>
        <v>00356315</v>
      </c>
    </row>
    <row r="3830" spans="1:2" x14ac:dyDescent="0.25">
      <c r="A3830" s="4">
        <v>3825</v>
      </c>
      <c r="B3830" s="3" t="str">
        <f>"00356361"</f>
        <v>00356361</v>
      </c>
    </row>
    <row r="3831" spans="1:2" x14ac:dyDescent="0.25">
      <c r="A3831" s="4">
        <v>3826</v>
      </c>
      <c r="B3831" s="3" t="str">
        <f>"00356374"</f>
        <v>00356374</v>
      </c>
    </row>
    <row r="3832" spans="1:2" x14ac:dyDescent="0.25">
      <c r="A3832" s="4">
        <v>3827</v>
      </c>
      <c r="B3832" s="3" t="str">
        <f>"00356377"</f>
        <v>00356377</v>
      </c>
    </row>
    <row r="3833" spans="1:2" x14ac:dyDescent="0.25">
      <c r="A3833" s="4">
        <v>3828</v>
      </c>
      <c r="B3833" s="3" t="str">
        <f>"00356614"</f>
        <v>00356614</v>
      </c>
    </row>
    <row r="3834" spans="1:2" x14ac:dyDescent="0.25">
      <c r="A3834" s="4">
        <v>3829</v>
      </c>
      <c r="B3834" s="3" t="str">
        <f>"00356635"</f>
        <v>00356635</v>
      </c>
    </row>
    <row r="3835" spans="1:2" x14ac:dyDescent="0.25">
      <c r="A3835" s="4">
        <v>3830</v>
      </c>
      <c r="B3835" s="3" t="str">
        <f>"00356672"</f>
        <v>00356672</v>
      </c>
    </row>
    <row r="3836" spans="1:2" x14ac:dyDescent="0.25">
      <c r="A3836" s="4">
        <v>3831</v>
      </c>
      <c r="B3836" s="3" t="str">
        <f>"00356803"</f>
        <v>00356803</v>
      </c>
    </row>
    <row r="3837" spans="1:2" x14ac:dyDescent="0.25">
      <c r="A3837" s="4">
        <v>3832</v>
      </c>
      <c r="B3837" s="3" t="str">
        <f>"00356814"</f>
        <v>00356814</v>
      </c>
    </row>
    <row r="3838" spans="1:2" x14ac:dyDescent="0.25">
      <c r="A3838" s="4">
        <v>3833</v>
      </c>
      <c r="B3838" s="3" t="str">
        <f>"00356830"</f>
        <v>00356830</v>
      </c>
    </row>
    <row r="3839" spans="1:2" x14ac:dyDescent="0.25">
      <c r="A3839" s="4">
        <v>3834</v>
      </c>
      <c r="B3839" s="3" t="str">
        <f>"00356922"</f>
        <v>00356922</v>
      </c>
    </row>
    <row r="3840" spans="1:2" x14ac:dyDescent="0.25">
      <c r="A3840" s="4">
        <v>3835</v>
      </c>
      <c r="B3840" s="3" t="str">
        <f>"00356944"</f>
        <v>00356944</v>
      </c>
    </row>
    <row r="3841" spans="1:2" x14ac:dyDescent="0.25">
      <c r="A3841" s="4">
        <v>3836</v>
      </c>
      <c r="B3841" s="3" t="str">
        <f>"00356960"</f>
        <v>00356960</v>
      </c>
    </row>
    <row r="3842" spans="1:2" x14ac:dyDescent="0.25">
      <c r="A3842" s="4">
        <v>3837</v>
      </c>
      <c r="B3842" s="3" t="str">
        <f>"00357032"</f>
        <v>00357032</v>
      </c>
    </row>
    <row r="3843" spans="1:2" x14ac:dyDescent="0.25">
      <c r="A3843" s="4">
        <v>3838</v>
      </c>
      <c r="B3843" s="3" t="str">
        <f>"00357063"</f>
        <v>00357063</v>
      </c>
    </row>
    <row r="3844" spans="1:2" x14ac:dyDescent="0.25">
      <c r="A3844" s="4">
        <v>3839</v>
      </c>
      <c r="B3844" s="3" t="str">
        <f>"00357067"</f>
        <v>00357067</v>
      </c>
    </row>
    <row r="3845" spans="1:2" x14ac:dyDescent="0.25">
      <c r="A3845" s="4">
        <v>3840</v>
      </c>
      <c r="B3845" s="3" t="str">
        <f>"00357179"</f>
        <v>00357179</v>
      </c>
    </row>
    <row r="3846" spans="1:2" x14ac:dyDescent="0.25">
      <c r="A3846" s="4">
        <v>3841</v>
      </c>
      <c r="B3846" s="3" t="str">
        <f>"00357182"</f>
        <v>00357182</v>
      </c>
    </row>
    <row r="3847" spans="1:2" x14ac:dyDescent="0.25">
      <c r="A3847" s="4">
        <v>3842</v>
      </c>
      <c r="B3847" s="3" t="str">
        <f>"00357219"</f>
        <v>00357219</v>
      </c>
    </row>
    <row r="3848" spans="1:2" x14ac:dyDescent="0.25">
      <c r="A3848" s="4">
        <v>3843</v>
      </c>
      <c r="B3848" s="3" t="str">
        <f>"00357333"</f>
        <v>00357333</v>
      </c>
    </row>
    <row r="3849" spans="1:2" x14ac:dyDescent="0.25">
      <c r="A3849" s="4">
        <v>3844</v>
      </c>
      <c r="B3849" s="3" t="str">
        <f>"00357359"</f>
        <v>00357359</v>
      </c>
    </row>
    <row r="3850" spans="1:2" x14ac:dyDescent="0.25">
      <c r="A3850" s="4">
        <v>3845</v>
      </c>
      <c r="B3850" s="3" t="str">
        <f>"00357378"</f>
        <v>00357378</v>
      </c>
    </row>
    <row r="3851" spans="1:2" x14ac:dyDescent="0.25">
      <c r="A3851" s="4">
        <v>3846</v>
      </c>
      <c r="B3851" s="3" t="str">
        <f>"00357404"</f>
        <v>00357404</v>
      </c>
    </row>
    <row r="3852" spans="1:2" x14ac:dyDescent="0.25">
      <c r="A3852" s="4">
        <v>3847</v>
      </c>
      <c r="B3852" s="3" t="str">
        <f>"00357670"</f>
        <v>00357670</v>
      </c>
    </row>
    <row r="3853" spans="1:2" x14ac:dyDescent="0.25">
      <c r="A3853" s="4">
        <v>3848</v>
      </c>
      <c r="B3853" s="3" t="str">
        <f>"00357692"</f>
        <v>00357692</v>
      </c>
    </row>
    <row r="3854" spans="1:2" x14ac:dyDescent="0.25">
      <c r="A3854" s="4">
        <v>3849</v>
      </c>
      <c r="B3854" s="3" t="str">
        <f>"00357840"</f>
        <v>00357840</v>
      </c>
    </row>
    <row r="3855" spans="1:2" x14ac:dyDescent="0.25">
      <c r="A3855" s="4">
        <v>3850</v>
      </c>
      <c r="B3855" s="3" t="str">
        <f>"00357861"</f>
        <v>00357861</v>
      </c>
    </row>
    <row r="3856" spans="1:2" x14ac:dyDescent="0.25">
      <c r="A3856" s="4">
        <v>3851</v>
      </c>
      <c r="B3856" s="3" t="str">
        <f>"00357927"</f>
        <v>00357927</v>
      </c>
    </row>
    <row r="3857" spans="1:2" x14ac:dyDescent="0.25">
      <c r="A3857" s="4">
        <v>3852</v>
      </c>
      <c r="B3857" s="3" t="str">
        <f>"00358040"</f>
        <v>00358040</v>
      </c>
    </row>
    <row r="3858" spans="1:2" x14ac:dyDescent="0.25">
      <c r="A3858" s="4">
        <v>3853</v>
      </c>
      <c r="B3858" s="3" t="str">
        <f>"00358052"</f>
        <v>00358052</v>
      </c>
    </row>
    <row r="3859" spans="1:2" x14ac:dyDescent="0.25">
      <c r="A3859" s="4">
        <v>3854</v>
      </c>
      <c r="B3859" s="3" t="str">
        <f>"00358057"</f>
        <v>00358057</v>
      </c>
    </row>
    <row r="3860" spans="1:2" x14ac:dyDescent="0.25">
      <c r="A3860" s="4">
        <v>3855</v>
      </c>
      <c r="B3860" s="3" t="str">
        <f>"00358110"</f>
        <v>00358110</v>
      </c>
    </row>
    <row r="3861" spans="1:2" x14ac:dyDescent="0.25">
      <c r="A3861" s="4">
        <v>3856</v>
      </c>
      <c r="B3861" s="3" t="str">
        <f>"00358114"</f>
        <v>00358114</v>
      </c>
    </row>
    <row r="3862" spans="1:2" x14ac:dyDescent="0.25">
      <c r="A3862" s="4">
        <v>3857</v>
      </c>
      <c r="B3862" s="3" t="str">
        <f>"00358154"</f>
        <v>00358154</v>
      </c>
    </row>
    <row r="3863" spans="1:2" x14ac:dyDescent="0.25">
      <c r="A3863" s="4">
        <v>3858</v>
      </c>
      <c r="B3863" s="3" t="str">
        <f>"00358302"</f>
        <v>00358302</v>
      </c>
    </row>
    <row r="3864" spans="1:2" x14ac:dyDescent="0.25">
      <c r="A3864" s="4">
        <v>3859</v>
      </c>
      <c r="B3864" s="3" t="str">
        <f>"00358313"</f>
        <v>00358313</v>
      </c>
    </row>
    <row r="3865" spans="1:2" x14ac:dyDescent="0.25">
      <c r="A3865" s="4">
        <v>3860</v>
      </c>
      <c r="B3865" s="3" t="str">
        <f>"00358364"</f>
        <v>00358364</v>
      </c>
    </row>
    <row r="3866" spans="1:2" x14ac:dyDescent="0.25">
      <c r="A3866" s="4">
        <v>3861</v>
      </c>
      <c r="B3866" s="3" t="str">
        <f>"00358399"</f>
        <v>00358399</v>
      </c>
    </row>
    <row r="3867" spans="1:2" x14ac:dyDescent="0.25">
      <c r="A3867" s="4">
        <v>3862</v>
      </c>
      <c r="B3867" s="3" t="str">
        <f>"00358573"</f>
        <v>00358573</v>
      </c>
    </row>
    <row r="3868" spans="1:2" x14ac:dyDescent="0.25">
      <c r="A3868" s="4">
        <v>3863</v>
      </c>
      <c r="B3868" s="3" t="str">
        <f>"00358710"</f>
        <v>00358710</v>
      </c>
    </row>
    <row r="3869" spans="1:2" x14ac:dyDescent="0.25">
      <c r="A3869" s="4">
        <v>3864</v>
      </c>
      <c r="B3869" s="3" t="str">
        <f>"00358757"</f>
        <v>00358757</v>
      </c>
    </row>
    <row r="3870" spans="1:2" x14ac:dyDescent="0.25">
      <c r="A3870" s="4">
        <v>3865</v>
      </c>
      <c r="B3870" s="3" t="str">
        <f>"00358775"</f>
        <v>00358775</v>
      </c>
    </row>
    <row r="3871" spans="1:2" x14ac:dyDescent="0.25">
      <c r="A3871" s="4">
        <v>3866</v>
      </c>
      <c r="B3871" s="3" t="str">
        <f>"00358805"</f>
        <v>00358805</v>
      </c>
    </row>
    <row r="3872" spans="1:2" x14ac:dyDescent="0.25">
      <c r="A3872" s="4">
        <v>3867</v>
      </c>
      <c r="B3872" s="3" t="str">
        <f>"00358822"</f>
        <v>00358822</v>
      </c>
    </row>
    <row r="3873" spans="1:2" x14ac:dyDescent="0.25">
      <c r="A3873" s="4">
        <v>3868</v>
      </c>
      <c r="B3873" s="3" t="str">
        <f>"00358827"</f>
        <v>00358827</v>
      </c>
    </row>
    <row r="3874" spans="1:2" x14ac:dyDescent="0.25">
      <c r="A3874" s="4">
        <v>3869</v>
      </c>
      <c r="B3874" s="3" t="str">
        <f>"00358935"</f>
        <v>00358935</v>
      </c>
    </row>
    <row r="3875" spans="1:2" x14ac:dyDescent="0.25">
      <c r="A3875" s="4">
        <v>3870</v>
      </c>
      <c r="B3875" s="3" t="str">
        <f>"00358952"</f>
        <v>00358952</v>
      </c>
    </row>
    <row r="3876" spans="1:2" x14ac:dyDescent="0.25">
      <c r="A3876" s="4">
        <v>3871</v>
      </c>
      <c r="B3876" s="3" t="str">
        <f>"00359045"</f>
        <v>00359045</v>
      </c>
    </row>
    <row r="3877" spans="1:2" x14ac:dyDescent="0.25">
      <c r="A3877" s="4">
        <v>3872</v>
      </c>
      <c r="B3877" s="3" t="str">
        <f>"00359133"</f>
        <v>00359133</v>
      </c>
    </row>
    <row r="3878" spans="1:2" x14ac:dyDescent="0.25">
      <c r="A3878" s="4">
        <v>3873</v>
      </c>
      <c r="B3878" s="3" t="str">
        <f>"00359367"</f>
        <v>00359367</v>
      </c>
    </row>
    <row r="3879" spans="1:2" x14ac:dyDescent="0.25">
      <c r="A3879" s="4">
        <v>3874</v>
      </c>
      <c r="B3879" s="3" t="str">
        <f>"00359387"</f>
        <v>00359387</v>
      </c>
    </row>
    <row r="3880" spans="1:2" x14ac:dyDescent="0.25">
      <c r="A3880" s="4">
        <v>3875</v>
      </c>
      <c r="B3880" s="3" t="str">
        <f>"00359478"</f>
        <v>00359478</v>
      </c>
    </row>
    <row r="3881" spans="1:2" x14ac:dyDescent="0.25">
      <c r="A3881" s="4">
        <v>3876</v>
      </c>
      <c r="B3881" s="3" t="str">
        <f>"00359480"</f>
        <v>00359480</v>
      </c>
    </row>
    <row r="3882" spans="1:2" x14ac:dyDescent="0.25">
      <c r="A3882" s="4">
        <v>3877</v>
      </c>
      <c r="B3882" s="3" t="str">
        <f>"00359579"</f>
        <v>00359579</v>
      </c>
    </row>
    <row r="3883" spans="1:2" x14ac:dyDescent="0.25">
      <c r="A3883" s="4">
        <v>3878</v>
      </c>
      <c r="B3883" s="3" t="str">
        <f>"00359603"</f>
        <v>00359603</v>
      </c>
    </row>
    <row r="3884" spans="1:2" x14ac:dyDescent="0.25">
      <c r="A3884" s="4">
        <v>3879</v>
      </c>
      <c r="B3884" s="3" t="str">
        <f>"00359633"</f>
        <v>00359633</v>
      </c>
    </row>
    <row r="3885" spans="1:2" x14ac:dyDescent="0.25">
      <c r="A3885" s="4">
        <v>3880</v>
      </c>
      <c r="B3885" s="3" t="str">
        <f>"00359673"</f>
        <v>00359673</v>
      </c>
    </row>
    <row r="3886" spans="1:2" x14ac:dyDescent="0.25">
      <c r="A3886" s="4">
        <v>3881</v>
      </c>
      <c r="B3886" s="3" t="str">
        <f>"00359686"</f>
        <v>00359686</v>
      </c>
    </row>
    <row r="3887" spans="1:2" x14ac:dyDescent="0.25">
      <c r="A3887" s="4">
        <v>3882</v>
      </c>
      <c r="B3887" s="3" t="str">
        <f>"00359919"</f>
        <v>00359919</v>
      </c>
    </row>
    <row r="3888" spans="1:2" x14ac:dyDescent="0.25">
      <c r="A3888" s="4">
        <v>3883</v>
      </c>
      <c r="B3888" s="3" t="str">
        <f>"00360109"</f>
        <v>00360109</v>
      </c>
    </row>
    <row r="3889" spans="1:2" x14ac:dyDescent="0.25">
      <c r="A3889" s="4">
        <v>3884</v>
      </c>
      <c r="B3889" s="3" t="str">
        <f>"00360331"</f>
        <v>00360331</v>
      </c>
    </row>
    <row r="3890" spans="1:2" x14ac:dyDescent="0.25">
      <c r="A3890" s="4">
        <v>3885</v>
      </c>
      <c r="B3890" s="3" t="str">
        <f>"00360341"</f>
        <v>00360341</v>
      </c>
    </row>
    <row r="3891" spans="1:2" x14ac:dyDescent="0.25">
      <c r="A3891" s="4">
        <v>3886</v>
      </c>
      <c r="B3891" s="3" t="str">
        <f>"00360387"</f>
        <v>00360387</v>
      </c>
    </row>
    <row r="3892" spans="1:2" x14ac:dyDescent="0.25">
      <c r="A3892" s="4">
        <v>3887</v>
      </c>
      <c r="B3892" s="3" t="str">
        <f>"00360464"</f>
        <v>00360464</v>
      </c>
    </row>
    <row r="3893" spans="1:2" x14ac:dyDescent="0.25">
      <c r="A3893" s="4">
        <v>3888</v>
      </c>
      <c r="B3893" s="3" t="str">
        <f>"00360542"</f>
        <v>00360542</v>
      </c>
    </row>
    <row r="3894" spans="1:2" x14ac:dyDescent="0.25">
      <c r="A3894" s="4">
        <v>3889</v>
      </c>
      <c r="B3894" s="3" t="str">
        <f>"00360552"</f>
        <v>00360552</v>
      </c>
    </row>
    <row r="3895" spans="1:2" x14ac:dyDescent="0.25">
      <c r="A3895" s="4">
        <v>3890</v>
      </c>
      <c r="B3895" s="3" t="str">
        <f>"00360570"</f>
        <v>00360570</v>
      </c>
    </row>
    <row r="3896" spans="1:2" x14ac:dyDescent="0.25">
      <c r="A3896" s="4">
        <v>3891</v>
      </c>
      <c r="B3896" s="3" t="str">
        <f>"00360815"</f>
        <v>00360815</v>
      </c>
    </row>
    <row r="3897" spans="1:2" x14ac:dyDescent="0.25">
      <c r="A3897" s="4">
        <v>3892</v>
      </c>
      <c r="B3897" s="3" t="str">
        <f>"00360902"</f>
        <v>00360902</v>
      </c>
    </row>
    <row r="3898" spans="1:2" x14ac:dyDescent="0.25">
      <c r="A3898" s="4">
        <v>3893</v>
      </c>
      <c r="B3898" s="3" t="str">
        <f>"00360916"</f>
        <v>00360916</v>
      </c>
    </row>
    <row r="3899" spans="1:2" x14ac:dyDescent="0.25">
      <c r="A3899" s="4">
        <v>3894</v>
      </c>
      <c r="B3899" s="3" t="str">
        <f>"00360923"</f>
        <v>00360923</v>
      </c>
    </row>
    <row r="3900" spans="1:2" x14ac:dyDescent="0.25">
      <c r="A3900" s="4">
        <v>3895</v>
      </c>
      <c r="B3900" s="3" t="str">
        <f>"00361057"</f>
        <v>00361057</v>
      </c>
    </row>
    <row r="3901" spans="1:2" x14ac:dyDescent="0.25">
      <c r="A3901" s="4">
        <v>3896</v>
      </c>
      <c r="B3901" s="3" t="str">
        <f>"00361068"</f>
        <v>00361068</v>
      </c>
    </row>
    <row r="3902" spans="1:2" x14ac:dyDescent="0.25">
      <c r="A3902" s="4">
        <v>3897</v>
      </c>
      <c r="B3902" s="3" t="str">
        <f>"00361174"</f>
        <v>00361174</v>
      </c>
    </row>
    <row r="3903" spans="1:2" x14ac:dyDescent="0.25">
      <c r="A3903" s="4">
        <v>3898</v>
      </c>
      <c r="B3903" s="3" t="str">
        <f>"00361178"</f>
        <v>00361178</v>
      </c>
    </row>
    <row r="3904" spans="1:2" x14ac:dyDescent="0.25">
      <c r="A3904" s="4">
        <v>3899</v>
      </c>
      <c r="B3904" s="3" t="str">
        <f>"00361180"</f>
        <v>00361180</v>
      </c>
    </row>
    <row r="3905" spans="1:2" x14ac:dyDescent="0.25">
      <c r="A3905" s="4">
        <v>3900</v>
      </c>
      <c r="B3905" s="3" t="str">
        <f>"00361184"</f>
        <v>00361184</v>
      </c>
    </row>
    <row r="3906" spans="1:2" x14ac:dyDescent="0.25">
      <c r="A3906" s="4">
        <v>3901</v>
      </c>
      <c r="B3906" s="3" t="str">
        <f>"00361223"</f>
        <v>00361223</v>
      </c>
    </row>
    <row r="3907" spans="1:2" x14ac:dyDescent="0.25">
      <c r="A3907" s="4">
        <v>3902</v>
      </c>
      <c r="B3907" s="3" t="str">
        <f>"00361240"</f>
        <v>00361240</v>
      </c>
    </row>
    <row r="3908" spans="1:2" x14ac:dyDescent="0.25">
      <c r="A3908" s="4">
        <v>3903</v>
      </c>
      <c r="B3908" s="3" t="str">
        <f>"00361246"</f>
        <v>00361246</v>
      </c>
    </row>
    <row r="3909" spans="1:2" x14ac:dyDescent="0.25">
      <c r="A3909" s="4">
        <v>3904</v>
      </c>
      <c r="B3909" s="3" t="str">
        <f>"00361251"</f>
        <v>00361251</v>
      </c>
    </row>
    <row r="3910" spans="1:2" x14ac:dyDescent="0.25">
      <c r="A3910" s="4">
        <v>3905</v>
      </c>
      <c r="B3910" s="3" t="str">
        <f>"00361279"</f>
        <v>00361279</v>
      </c>
    </row>
    <row r="3911" spans="1:2" x14ac:dyDescent="0.25">
      <c r="A3911" s="4">
        <v>3906</v>
      </c>
      <c r="B3911" s="3" t="str">
        <f>"00361315"</f>
        <v>00361315</v>
      </c>
    </row>
    <row r="3912" spans="1:2" x14ac:dyDescent="0.25">
      <c r="A3912" s="4">
        <v>3907</v>
      </c>
      <c r="B3912" s="3" t="str">
        <f>"00361332"</f>
        <v>00361332</v>
      </c>
    </row>
    <row r="3913" spans="1:2" x14ac:dyDescent="0.25">
      <c r="A3913" s="4">
        <v>3908</v>
      </c>
      <c r="B3913" s="3" t="str">
        <f>"00361335"</f>
        <v>00361335</v>
      </c>
    </row>
    <row r="3914" spans="1:2" x14ac:dyDescent="0.25">
      <c r="A3914" s="4">
        <v>3909</v>
      </c>
      <c r="B3914" s="3" t="str">
        <f>"00361395"</f>
        <v>00361395</v>
      </c>
    </row>
    <row r="3915" spans="1:2" x14ac:dyDescent="0.25">
      <c r="A3915" s="4">
        <v>3910</v>
      </c>
      <c r="B3915" s="3" t="str">
        <f>"00361425"</f>
        <v>00361425</v>
      </c>
    </row>
    <row r="3916" spans="1:2" x14ac:dyDescent="0.25">
      <c r="A3916" s="4">
        <v>3911</v>
      </c>
      <c r="B3916" s="3" t="str">
        <f>"00361568"</f>
        <v>00361568</v>
      </c>
    </row>
    <row r="3917" spans="1:2" x14ac:dyDescent="0.25">
      <c r="A3917" s="4">
        <v>3912</v>
      </c>
      <c r="B3917" s="3" t="str">
        <f>"00361573"</f>
        <v>00361573</v>
      </c>
    </row>
    <row r="3918" spans="1:2" x14ac:dyDescent="0.25">
      <c r="A3918" s="4">
        <v>3913</v>
      </c>
      <c r="B3918" s="3" t="str">
        <f>"00361586"</f>
        <v>00361586</v>
      </c>
    </row>
    <row r="3919" spans="1:2" x14ac:dyDescent="0.25">
      <c r="A3919" s="4">
        <v>3914</v>
      </c>
      <c r="B3919" s="3" t="str">
        <f>"00361597"</f>
        <v>00361597</v>
      </c>
    </row>
    <row r="3920" spans="1:2" x14ac:dyDescent="0.25">
      <c r="A3920" s="4">
        <v>3915</v>
      </c>
      <c r="B3920" s="3" t="str">
        <f>"00361713"</f>
        <v>00361713</v>
      </c>
    </row>
    <row r="3921" spans="1:2" x14ac:dyDescent="0.25">
      <c r="A3921" s="4">
        <v>3916</v>
      </c>
      <c r="B3921" s="3" t="str">
        <f>"00361875"</f>
        <v>00361875</v>
      </c>
    </row>
    <row r="3922" spans="1:2" x14ac:dyDescent="0.25">
      <c r="A3922" s="4">
        <v>3917</v>
      </c>
      <c r="B3922" s="3" t="str">
        <f>"00361936"</f>
        <v>00361936</v>
      </c>
    </row>
    <row r="3923" spans="1:2" x14ac:dyDescent="0.25">
      <c r="A3923" s="4">
        <v>3918</v>
      </c>
      <c r="B3923" s="3" t="str">
        <f>"00362101"</f>
        <v>00362101</v>
      </c>
    </row>
    <row r="3924" spans="1:2" x14ac:dyDescent="0.25">
      <c r="A3924" s="4">
        <v>3919</v>
      </c>
      <c r="B3924" s="3" t="str">
        <f>"00362109"</f>
        <v>00362109</v>
      </c>
    </row>
    <row r="3925" spans="1:2" x14ac:dyDescent="0.25">
      <c r="A3925" s="4">
        <v>3920</v>
      </c>
      <c r="B3925" s="3" t="str">
        <f>"00362234"</f>
        <v>00362234</v>
      </c>
    </row>
    <row r="3926" spans="1:2" x14ac:dyDescent="0.25">
      <c r="A3926" s="4">
        <v>3921</v>
      </c>
      <c r="B3926" s="3" t="str">
        <f>"00362292"</f>
        <v>00362292</v>
      </c>
    </row>
    <row r="3927" spans="1:2" x14ac:dyDescent="0.25">
      <c r="A3927" s="4">
        <v>3922</v>
      </c>
      <c r="B3927" s="3" t="str">
        <f>"00362329"</f>
        <v>00362329</v>
      </c>
    </row>
    <row r="3928" spans="1:2" x14ac:dyDescent="0.25">
      <c r="A3928" s="4">
        <v>3923</v>
      </c>
      <c r="B3928" s="3" t="str">
        <f>"00362559"</f>
        <v>00362559</v>
      </c>
    </row>
    <row r="3929" spans="1:2" x14ac:dyDescent="0.25">
      <c r="A3929" s="4">
        <v>3924</v>
      </c>
      <c r="B3929" s="3" t="str">
        <f>"00362576"</f>
        <v>00362576</v>
      </c>
    </row>
    <row r="3930" spans="1:2" x14ac:dyDescent="0.25">
      <c r="A3930" s="4">
        <v>3925</v>
      </c>
      <c r="B3930" s="3" t="str">
        <f>"00362590"</f>
        <v>00362590</v>
      </c>
    </row>
    <row r="3931" spans="1:2" x14ac:dyDescent="0.25">
      <c r="A3931" s="4">
        <v>3926</v>
      </c>
      <c r="B3931" s="3" t="str">
        <f>"00362687"</f>
        <v>00362687</v>
      </c>
    </row>
    <row r="3932" spans="1:2" x14ac:dyDescent="0.25">
      <c r="A3932" s="4">
        <v>3927</v>
      </c>
      <c r="B3932" s="3" t="str">
        <f>"00362830"</f>
        <v>00362830</v>
      </c>
    </row>
    <row r="3933" spans="1:2" x14ac:dyDescent="0.25">
      <c r="A3933" s="4">
        <v>3928</v>
      </c>
      <c r="B3933" s="3" t="str">
        <f>"00362831"</f>
        <v>00362831</v>
      </c>
    </row>
    <row r="3934" spans="1:2" x14ac:dyDescent="0.25">
      <c r="A3934" s="4">
        <v>3929</v>
      </c>
      <c r="B3934" s="3" t="str">
        <f>"00362886"</f>
        <v>00362886</v>
      </c>
    </row>
    <row r="3935" spans="1:2" x14ac:dyDescent="0.25">
      <c r="A3935" s="4">
        <v>3930</v>
      </c>
      <c r="B3935" s="3" t="str">
        <f>"00362892"</f>
        <v>00362892</v>
      </c>
    </row>
    <row r="3936" spans="1:2" x14ac:dyDescent="0.25">
      <c r="A3936" s="4">
        <v>3931</v>
      </c>
      <c r="B3936" s="3" t="str">
        <f>"00362921"</f>
        <v>00362921</v>
      </c>
    </row>
    <row r="3937" spans="1:2" x14ac:dyDescent="0.25">
      <c r="A3937" s="4">
        <v>3932</v>
      </c>
      <c r="B3937" s="3" t="str">
        <f>"00362949"</f>
        <v>00362949</v>
      </c>
    </row>
    <row r="3938" spans="1:2" x14ac:dyDescent="0.25">
      <c r="A3938" s="4">
        <v>3933</v>
      </c>
      <c r="B3938" s="3" t="str">
        <f>"00362991"</f>
        <v>00362991</v>
      </c>
    </row>
    <row r="3939" spans="1:2" x14ac:dyDescent="0.25">
      <c r="A3939" s="4">
        <v>3934</v>
      </c>
      <c r="B3939" s="3" t="str">
        <f>"00362999"</f>
        <v>00362999</v>
      </c>
    </row>
    <row r="3940" spans="1:2" x14ac:dyDescent="0.25">
      <c r="A3940" s="4">
        <v>3935</v>
      </c>
      <c r="B3940" s="3" t="str">
        <f>"00363046"</f>
        <v>00363046</v>
      </c>
    </row>
    <row r="3941" spans="1:2" x14ac:dyDescent="0.25">
      <c r="A3941" s="4">
        <v>3936</v>
      </c>
      <c r="B3941" s="3" t="str">
        <f>"00363192"</f>
        <v>00363192</v>
      </c>
    </row>
    <row r="3942" spans="1:2" x14ac:dyDescent="0.25">
      <c r="A3942" s="4">
        <v>3937</v>
      </c>
      <c r="B3942" s="3" t="str">
        <f>"00363193"</f>
        <v>00363193</v>
      </c>
    </row>
    <row r="3943" spans="1:2" x14ac:dyDescent="0.25">
      <c r="A3943" s="4">
        <v>3938</v>
      </c>
      <c r="B3943" s="3" t="str">
        <f>"00363199"</f>
        <v>00363199</v>
      </c>
    </row>
    <row r="3944" spans="1:2" x14ac:dyDescent="0.25">
      <c r="A3944" s="4">
        <v>3939</v>
      </c>
      <c r="B3944" s="3" t="str">
        <f>"00363252"</f>
        <v>00363252</v>
      </c>
    </row>
    <row r="3945" spans="1:2" x14ac:dyDescent="0.25">
      <c r="A3945" s="4">
        <v>3940</v>
      </c>
      <c r="B3945" s="3" t="str">
        <f>"00363304"</f>
        <v>00363304</v>
      </c>
    </row>
    <row r="3946" spans="1:2" x14ac:dyDescent="0.25">
      <c r="A3946" s="4">
        <v>3941</v>
      </c>
      <c r="B3946" s="3" t="str">
        <f>"00363314"</f>
        <v>00363314</v>
      </c>
    </row>
    <row r="3947" spans="1:2" x14ac:dyDescent="0.25">
      <c r="A3947" s="4">
        <v>3942</v>
      </c>
      <c r="B3947" s="3" t="str">
        <f>"00363332"</f>
        <v>00363332</v>
      </c>
    </row>
    <row r="3948" spans="1:2" x14ac:dyDescent="0.25">
      <c r="A3948" s="4">
        <v>3943</v>
      </c>
      <c r="B3948" s="3" t="str">
        <f>"00363434"</f>
        <v>00363434</v>
      </c>
    </row>
    <row r="3949" spans="1:2" x14ac:dyDescent="0.25">
      <c r="A3949" s="4">
        <v>3944</v>
      </c>
      <c r="B3949" s="3" t="str">
        <f>"00363762"</f>
        <v>00363762</v>
      </c>
    </row>
    <row r="3950" spans="1:2" x14ac:dyDescent="0.25">
      <c r="A3950" s="4">
        <v>3945</v>
      </c>
      <c r="B3950" s="3" t="str">
        <f>"00363813"</f>
        <v>00363813</v>
      </c>
    </row>
    <row r="3951" spans="1:2" x14ac:dyDescent="0.25">
      <c r="A3951" s="4">
        <v>3946</v>
      </c>
      <c r="B3951" s="3" t="str">
        <f>"00363869"</f>
        <v>00363869</v>
      </c>
    </row>
    <row r="3952" spans="1:2" x14ac:dyDescent="0.25">
      <c r="A3952" s="4">
        <v>3947</v>
      </c>
      <c r="B3952" s="3" t="str">
        <f>"00363909"</f>
        <v>00363909</v>
      </c>
    </row>
    <row r="3953" spans="1:2" x14ac:dyDescent="0.25">
      <c r="A3953" s="4">
        <v>3948</v>
      </c>
      <c r="B3953" s="3" t="str">
        <f>"00363973"</f>
        <v>00363973</v>
      </c>
    </row>
    <row r="3954" spans="1:2" x14ac:dyDescent="0.25">
      <c r="A3954" s="4">
        <v>3949</v>
      </c>
      <c r="B3954" s="3" t="str">
        <f>"00363979"</f>
        <v>00363979</v>
      </c>
    </row>
    <row r="3955" spans="1:2" x14ac:dyDescent="0.25">
      <c r="A3955" s="4">
        <v>3950</v>
      </c>
      <c r="B3955" s="3" t="str">
        <f>"00363984"</f>
        <v>00363984</v>
      </c>
    </row>
    <row r="3956" spans="1:2" x14ac:dyDescent="0.25">
      <c r="A3956" s="4">
        <v>3951</v>
      </c>
      <c r="B3956" s="3" t="str">
        <f>"00364001"</f>
        <v>00364001</v>
      </c>
    </row>
    <row r="3957" spans="1:2" x14ac:dyDescent="0.25">
      <c r="A3957" s="4">
        <v>3952</v>
      </c>
      <c r="B3957" s="3" t="str">
        <f>"00364042"</f>
        <v>00364042</v>
      </c>
    </row>
    <row r="3958" spans="1:2" x14ac:dyDescent="0.25">
      <c r="A3958" s="4">
        <v>3953</v>
      </c>
      <c r="B3958" s="3" t="str">
        <f>"00364081"</f>
        <v>00364081</v>
      </c>
    </row>
    <row r="3959" spans="1:2" x14ac:dyDescent="0.25">
      <c r="A3959" s="4">
        <v>3954</v>
      </c>
      <c r="B3959" s="3" t="str">
        <f>"00364094"</f>
        <v>00364094</v>
      </c>
    </row>
    <row r="3960" spans="1:2" x14ac:dyDescent="0.25">
      <c r="A3960" s="4">
        <v>3955</v>
      </c>
      <c r="B3960" s="3" t="str">
        <f>"00364135"</f>
        <v>00364135</v>
      </c>
    </row>
    <row r="3961" spans="1:2" x14ac:dyDescent="0.25">
      <c r="A3961" s="4">
        <v>3956</v>
      </c>
      <c r="B3961" s="3" t="str">
        <f>"00364163"</f>
        <v>00364163</v>
      </c>
    </row>
    <row r="3962" spans="1:2" x14ac:dyDescent="0.25">
      <c r="A3962" s="4">
        <v>3957</v>
      </c>
      <c r="B3962" s="3" t="str">
        <f>"00364166"</f>
        <v>00364166</v>
      </c>
    </row>
    <row r="3963" spans="1:2" x14ac:dyDescent="0.25">
      <c r="A3963" s="4">
        <v>3958</v>
      </c>
      <c r="B3963" s="3" t="str">
        <f>"00364192"</f>
        <v>00364192</v>
      </c>
    </row>
    <row r="3964" spans="1:2" x14ac:dyDescent="0.25">
      <c r="A3964" s="4">
        <v>3959</v>
      </c>
      <c r="B3964" s="3" t="str">
        <f>"00364220"</f>
        <v>00364220</v>
      </c>
    </row>
    <row r="3965" spans="1:2" x14ac:dyDescent="0.25">
      <c r="A3965" s="4">
        <v>3960</v>
      </c>
      <c r="B3965" s="3" t="str">
        <f>"00364259"</f>
        <v>00364259</v>
      </c>
    </row>
    <row r="3966" spans="1:2" x14ac:dyDescent="0.25">
      <c r="A3966" s="4">
        <v>3961</v>
      </c>
      <c r="B3966" s="3" t="str">
        <f>"00364267"</f>
        <v>00364267</v>
      </c>
    </row>
    <row r="3967" spans="1:2" x14ac:dyDescent="0.25">
      <c r="A3967" s="4">
        <v>3962</v>
      </c>
      <c r="B3967" s="3" t="str">
        <f>"00364288"</f>
        <v>00364288</v>
      </c>
    </row>
    <row r="3968" spans="1:2" x14ac:dyDescent="0.25">
      <c r="A3968" s="4">
        <v>3963</v>
      </c>
      <c r="B3968" s="3" t="str">
        <f>"00364317"</f>
        <v>00364317</v>
      </c>
    </row>
    <row r="3969" spans="1:2" x14ac:dyDescent="0.25">
      <c r="A3969" s="4">
        <v>3964</v>
      </c>
      <c r="B3969" s="3" t="str">
        <f>"00364322"</f>
        <v>00364322</v>
      </c>
    </row>
    <row r="3970" spans="1:2" x14ac:dyDescent="0.25">
      <c r="A3970" s="4">
        <v>3965</v>
      </c>
      <c r="B3970" s="3" t="str">
        <f>"00364325"</f>
        <v>00364325</v>
      </c>
    </row>
    <row r="3971" spans="1:2" x14ac:dyDescent="0.25">
      <c r="A3971" s="4">
        <v>3966</v>
      </c>
      <c r="B3971" s="3" t="str">
        <f>"00364341"</f>
        <v>00364341</v>
      </c>
    </row>
    <row r="3972" spans="1:2" x14ac:dyDescent="0.25">
      <c r="A3972" s="4">
        <v>3967</v>
      </c>
      <c r="B3972" s="3" t="str">
        <f>"00364386"</f>
        <v>00364386</v>
      </c>
    </row>
    <row r="3973" spans="1:2" x14ac:dyDescent="0.25">
      <c r="A3973" s="4">
        <v>3968</v>
      </c>
      <c r="B3973" s="3" t="str">
        <f>"00364445"</f>
        <v>00364445</v>
      </c>
    </row>
    <row r="3974" spans="1:2" x14ac:dyDescent="0.25">
      <c r="A3974" s="4">
        <v>3969</v>
      </c>
      <c r="B3974" s="3" t="str">
        <f>"00364551"</f>
        <v>00364551</v>
      </c>
    </row>
    <row r="3975" spans="1:2" x14ac:dyDescent="0.25">
      <c r="A3975" s="4">
        <v>3970</v>
      </c>
      <c r="B3975" s="3" t="str">
        <f>"00364698"</f>
        <v>00364698</v>
      </c>
    </row>
    <row r="3976" spans="1:2" x14ac:dyDescent="0.25">
      <c r="A3976" s="4">
        <v>3971</v>
      </c>
      <c r="B3976" s="3" t="str">
        <f>"00364719"</f>
        <v>00364719</v>
      </c>
    </row>
    <row r="3977" spans="1:2" x14ac:dyDescent="0.25">
      <c r="A3977" s="4">
        <v>3972</v>
      </c>
      <c r="B3977" s="3" t="str">
        <f>"00364767"</f>
        <v>00364767</v>
      </c>
    </row>
    <row r="3978" spans="1:2" x14ac:dyDescent="0.25">
      <c r="A3978" s="4">
        <v>3973</v>
      </c>
      <c r="B3978" s="3" t="str">
        <f>"00364839"</f>
        <v>00364839</v>
      </c>
    </row>
    <row r="3979" spans="1:2" x14ac:dyDescent="0.25">
      <c r="A3979" s="4">
        <v>3974</v>
      </c>
      <c r="B3979" s="3" t="str">
        <f>"00364862"</f>
        <v>00364862</v>
      </c>
    </row>
    <row r="3980" spans="1:2" x14ac:dyDescent="0.25">
      <c r="A3980" s="4">
        <v>3975</v>
      </c>
      <c r="B3980" s="3" t="str">
        <f>"00364896"</f>
        <v>00364896</v>
      </c>
    </row>
    <row r="3981" spans="1:2" x14ac:dyDescent="0.25">
      <c r="A3981" s="4">
        <v>3976</v>
      </c>
      <c r="B3981" s="3" t="str">
        <f>"00364971"</f>
        <v>00364971</v>
      </c>
    </row>
    <row r="3982" spans="1:2" x14ac:dyDescent="0.25">
      <c r="A3982" s="4">
        <v>3977</v>
      </c>
      <c r="B3982" s="3" t="str">
        <f>"00365014"</f>
        <v>00365014</v>
      </c>
    </row>
    <row r="3983" spans="1:2" x14ac:dyDescent="0.25">
      <c r="A3983" s="4">
        <v>3978</v>
      </c>
      <c r="B3983" s="3" t="str">
        <f>"00365047"</f>
        <v>00365047</v>
      </c>
    </row>
    <row r="3984" spans="1:2" x14ac:dyDescent="0.25">
      <c r="A3984" s="4">
        <v>3979</v>
      </c>
      <c r="B3984" s="3" t="str">
        <f>"00365160"</f>
        <v>00365160</v>
      </c>
    </row>
    <row r="3985" spans="1:2" x14ac:dyDescent="0.25">
      <c r="A3985" s="4">
        <v>3980</v>
      </c>
      <c r="B3985" s="3" t="str">
        <f>"00365187"</f>
        <v>00365187</v>
      </c>
    </row>
    <row r="3986" spans="1:2" x14ac:dyDescent="0.25">
      <c r="A3986" s="4">
        <v>3981</v>
      </c>
      <c r="B3986" s="3" t="str">
        <f>"00365242"</f>
        <v>00365242</v>
      </c>
    </row>
    <row r="3987" spans="1:2" x14ac:dyDescent="0.25">
      <c r="A3987" s="4">
        <v>3982</v>
      </c>
      <c r="B3987" s="3" t="str">
        <f>"00365248"</f>
        <v>00365248</v>
      </c>
    </row>
    <row r="3988" spans="1:2" x14ac:dyDescent="0.25">
      <c r="A3988" s="4">
        <v>3983</v>
      </c>
      <c r="B3988" s="3" t="str">
        <f>"00365305"</f>
        <v>00365305</v>
      </c>
    </row>
    <row r="3989" spans="1:2" x14ac:dyDescent="0.25">
      <c r="A3989" s="4">
        <v>3984</v>
      </c>
      <c r="B3989" s="3" t="str">
        <f>"00365313"</f>
        <v>00365313</v>
      </c>
    </row>
    <row r="3990" spans="1:2" x14ac:dyDescent="0.25">
      <c r="A3990" s="4">
        <v>3985</v>
      </c>
      <c r="B3990" s="3" t="str">
        <f>"00365440"</f>
        <v>00365440</v>
      </c>
    </row>
    <row r="3991" spans="1:2" x14ac:dyDescent="0.25">
      <c r="A3991" s="4">
        <v>3986</v>
      </c>
      <c r="B3991" s="3" t="str">
        <f>"00365500"</f>
        <v>00365500</v>
      </c>
    </row>
    <row r="3992" spans="1:2" x14ac:dyDescent="0.25">
      <c r="A3992" s="4">
        <v>3987</v>
      </c>
      <c r="B3992" s="3" t="str">
        <f>"00365515"</f>
        <v>00365515</v>
      </c>
    </row>
    <row r="3993" spans="1:2" x14ac:dyDescent="0.25">
      <c r="A3993" s="4">
        <v>3988</v>
      </c>
      <c r="B3993" s="3" t="str">
        <f>"00365539"</f>
        <v>00365539</v>
      </c>
    </row>
    <row r="3994" spans="1:2" x14ac:dyDescent="0.25">
      <c r="A3994" s="4">
        <v>3989</v>
      </c>
      <c r="B3994" s="3" t="str">
        <f>"00365543"</f>
        <v>00365543</v>
      </c>
    </row>
    <row r="3995" spans="1:2" x14ac:dyDescent="0.25">
      <c r="A3995" s="4">
        <v>3990</v>
      </c>
      <c r="B3995" s="3" t="str">
        <f>"00365598"</f>
        <v>00365598</v>
      </c>
    </row>
    <row r="3996" spans="1:2" x14ac:dyDescent="0.25">
      <c r="A3996" s="4">
        <v>3991</v>
      </c>
      <c r="B3996" s="3" t="str">
        <f>"00365708"</f>
        <v>00365708</v>
      </c>
    </row>
    <row r="3997" spans="1:2" x14ac:dyDescent="0.25">
      <c r="A3997" s="4">
        <v>3992</v>
      </c>
      <c r="B3997" s="3" t="str">
        <f>"00365856"</f>
        <v>00365856</v>
      </c>
    </row>
    <row r="3998" spans="1:2" x14ac:dyDescent="0.25">
      <c r="A3998" s="4">
        <v>3993</v>
      </c>
      <c r="B3998" s="3" t="str">
        <f>"00366184"</f>
        <v>00366184</v>
      </c>
    </row>
    <row r="3999" spans="1:2" x14ac:dyDescent="0.25">
      <c r="A3999" s="4">
        <v>3994</v>
      </c>
      <c r="B3999" s="3" t="str">
        <f>"00366212"</f>
        <v>00366212</v>
      </c>
    </row>
    <row r="4000" spans="1:2" x14ac:dyDescent="0.25">
      <c r="A4000" s="4">
        <v>3995</v>
      </c>
      <c r="B4000" s="3" t="str">
        <f>"00366347"</f>
        <v>00366347</v>
      </c>
    </row>
    <row r="4001" spans="1:2" x14ac:dyDescent="0.25">
      <c r="A4001" s="4">
        <v>3996</v>
      </c>
      <c r="B4001" s="3" t="str">
        <f>"00366429"</f>
        <v>00366429</v>
      </c>
    </row>
    <row r="4002" spans="1:2" x14ac:dyDescent="0.25">
      <c r="A4002" s="4">
        <v>3997</v>
      </c>
      <c r="B4002" s="3" t="str">
        <f>"00366443"</f>
        <v>00366443</v>
      </c>
    </row>
    <row r="4003" spans="1:2" x14ac:dyDescent="0.25">
      <c r="A4003" s="4">
        <v>3998</v>
      </c>
      <c r="B4003" s="3" t="str">
        <f>"00366558"</f>
        <v>00366558</v>
      </c>
    </row>
    <row r="4004" spans="1:2" x14ac:dyDescent="0.25">
      <c r="A4004" s="4">
        <v>3999</v>
      </c>
      <c r="B4004" s="3" t="str">
        <f>"00366704"</f>
        <v>00366704</v>
      </c>
    </row>
    <row r="4005" spans="1:2" x14ac:dyDescent="0.25">
      <c r="A4005" s="4">
        <v>4000</v>
      </c>
      <c r="B4005" s="3" t="str">
        <f>"00366708"</f>
        <v>00366708</v>
      </c>
    </row>
    <row r="4006" spans="1:2" x14ac:dyDescent="0.25">
      <c r="A4006" s="4">
        <v>4001</v>
      </c>
      <c r="B4006" s="3" t="str">
        <f>"00366757"</f>
        <v>00366757</v>
      </c>
    </row>
    <row r="4007" spans="1:2" x14ac:dyDescent="0.25">
      <c r="A4007" s="4">
        <v>4002</v>
      </c>
      <c r="B4007" s="3" t="str">
        <f>"00366863"</f>
        <v>00366863</v>
      </c>
    </row>
    <row r="4008" spans="1:2" x14ac:dyDescent="0.25">
      <c r="A4008" s="4">
        <v>4003</v>
      </c>
      <c r="B4008" s="3" t="str">
        <f>"00366873"</f>
        <v>00366873</v>
      </c>
    </row>
    <row r="4009" spans="1:2" x14ac:dyDescent="0.25">
      <c r="A4009" s="4">
        <v>4004</v>
      </c>
      <c r="B4009" s="3" t="str">
        <f>"00366923"</f>
        <v>00366923</v>
      </c>
    </row>
    <row r="4010" spans="1:2" x14ac:dyDescent="0.25">
      <c r="A4010" s="4">
        <v>4005</v>
      </c>
      <c r="B4010" s="3" t="str">
        <f>"00366938"</f>
        <v>00366938</v>
      </c>
    </row>
    <row r="4011" spans="1:2" x14ac:dyDescent="0.25">
      <c r="A4011" s="4">
        <v>4006</v>
      </c>
      <c r="B4011" s="3" t="str">
        <f>"00366985"</f>
        <v>00366985</v>
      </c>
    </row>
    <row r="4012" spans="1:2" x14ac:dyDescent="0.25">
      <c r="A4012" s="4">
        <v>4007</v>
      </c>
      <c r="B4012" s="3" t="str">
        <f>"00367096"</f>
        <v>00367096</v>
      </c>
    </row>
    <row r="4013" spans="1:2" x14ac:dyDescent="0.25">
      <c r="A4013" s="4">
        <v>4008</v>
      </c>
      <c r="B4013" s="3" t="str">
        <f>"00367126"</f>
        <v>00367126</v>
      </c>
    </row>
    <row r="4014" spans="1:2" x14ac:dyDescent="0.25">
      <c r="A4014" s="4">
        <v>4009</v>
      </c>
      <c r="B4014" s="3" t="str">
        <f>"00367133"</f>
        <v>00367133</v>
      </c>
    </row>
    <row r="4015" spans="1:2" x14ac:dyDescent="0.25">
      <c r="A4015" s="4">
        <v>4010</v>
      </c>
      <c r="B4015" s="3" t="str">
        <f>"00367210"</f>
        <v>00367210</v>
      </c>
    </row>
    <row r="4016" spans="1:2" x14ac:dyDescent="0.25">
      <c r="A4016" s="4">
        <v>4011</v>
      </c>
      <c r="B4016" s="3" t="str">
        <f>"00367217"</f>
        <v>00367217</v>
      </c>
    </row>
    <row r="4017" spans="1:2" x14ac:dyDescent="0.25">
      <c r="A4017" s="4">
        <v>4012</v>
      </c>
      <c r="B4017" s="3" t="str">
        <f>"00367226"</f>
        <v>00367226</v>
      </c>
    </row>
    <row r="4018" spans="1:2" x14ac:dyDescent="0.25">
      <c r="A4018" s="4">
        <v>4013</v>
      </c>
      <c r="B4018" s="3" t="str">
        <f>"00367229"</f>
        <v>00367229</v>
      </c>
    </row>
    <row r="4019" spans="1:2" x14ac:dyDescent="0.25">
      <c r="A4019" s="4">
        <v>4014</v>
      </c>
      <c r="B4019" s="3" t="str">
        <f>"00367231"</f>
        <v>00367231</v>
      </c>
    </row>
    <row r="4020" spans="1:2" x14ac:dyDescent="0.25">
      <c r="A4020" s="4">
        <v>4015</v>
      </c>
      <c r="B4020" s="3" t="str">
        <f>"00367277"</f>
        <v>00367277</v>
      </c>
    </row>
    <row r="4021" spans="1:2" x14ac:dyDescent="0.25">
      <c r="A4021" s="4">
        <v>4016</v>
      </c>
      <c r="B4021" s="3" t="str">
        <f>"00367295"</f>
        <v>00367295</v>
      </c>
    </row>
    <row r="4022" spans="1:2" x14ac:dyDescent="0.25">
      <c r="A4022" s="4">
        <v>4017</v>
      </c>
      <c r="B4022" s="3" t="str">
        <f>"00367297"</f>
        <v>00367297</v>
      </c>
    </row>
    <row r="4023" spans="1:2" x14ac:dyDescent="0.25">
      <c r="A4023" s="4">
        <v>4018</v>
      </c>
      <c r="B4023" s="3" t="str">
        <f>"00367446"</f>
        <v>00367446</v>
      </c>
    </row>
    <row r="4024" spans="1:2" x14ac:dyDescent="0.25">
      <c r="A4024" s="4">
        <v>4019</v>
      </c>
      <c r="B4024" s="3" t="str">
        <f>"00367494"</f>
        <v>00367494</v>
      </c>
    </row>
    <row r="4025" spans="1:2" x14ac:dyDescent="0.25">
      <c r="A4025" s="4">
        <v>4020</v>
      </c>
      <c r="B4025" s="3" t="str">
        <f>"00367665"</f>
        <v>00367665</v>
      </c>
    </row>
    <row r="4026" spans="1:2" x14ac:dyDescent="0.25">
      <c r="A4026" s="4">
        <v>4021</v>
      </c>
      <c r="B4026" s="3" t="str">
        <f>"00367671"</f>
        <v>00367671</v>
      </c>
    </row>
    <row r="4027" spans="1:2" x14ac:dyDescent="0.25">
      <c r="A4027" s="4">
        <v>4022</v>
      </c>
      <c r="B4027" s="3" t="str">
        <f>"00367740"</f>
        <v>00367740</v>
      </c>
    </row>
    <row r="4028" spans="1:2" x14ac:dyDescent="0.25">
      <c r="A4028" s="4">
        <v>4023</v>
      </c>
      <c r="B4028" s="3" t="str">
        <f>"00367807"</f>
        <v>00367807</v>
      </c>
    </row>
    <row r="4029" spans="1:2" x14ac:dyDescent="0.25">
      <c r="A4029" s="4">
        <v>4024</v>
      </c>
      <c r="B4029" s="3" t="str">
        <f>"00367846"</f>
        <v>00367846</v>
      </c>
    </row>
    <row r="4030" spans="1:2" x14ac:dyDescent="0.25">
      <c r="A4030" s="4">
        <v>4025</v>
      </c>
      <c r="B4030" s="3" t="str">
        <f>"00367948"</f>
        <v>00367948</v>
      </c>
    </row>
    <row r="4031" spans="1:2" x14ac:dyDescent="0.25">
      <c r="A4031" s="4">
        <v>4026</v>
      </c>
      <c r="B4031" s="3" t="str">
        <f>"00367998"</f>
        <v>00367998</v>
      </c>
    </row>
    <row r="4032" spans="1:2" x14ac:dyDescent="0.25">
      <c r="A4032" s="4">
        <v>4027</v>
      </c>
      <c r="B4032" s="3" t="str">
        <f>"00368208"</f>
        <v>00368208</v>
      </c>
    </row>
    <row r="4033" spans="1:2" x14ac:dyDescent="0.25">
      <c r="A4033" s="4">
        <v>4028</v>
      </c>
      <c r="B4033" s="3" t="str">
        <f>"00368219"</f>
        <v>00368219</v>
      </c>
    </row>
    <row r="4034" spans="1:2" x14ac:dyDescent="0.25">
      <c r="A4034" s="4">
        <v>4029</v>
      </c>
      <c r="B4034" s="3" t="str">
        <f>"00368245"</f>
        <v>00368245</v>
      </c>
    </row>
    <row r="4035" spans="1:2" x14ac:dyDescent="0.25">
      <c r="A4035" s="4">
        <v>4030</v>
      </c>
      <c r="B4035" s="3" t="str">
        <f>"00368252"</f>
        <v>00368252</v>
      </c>
    </row>
    <row r="4036" spans="1:2" x14ac:dyDescent="0.25">
      <c r="A4036" s="4">
        <v>4031</v>
      </c>
      <c r="B4036" s="3" t="str">
        <f>"00368298"</f>
        <v>00368298</v>
      </c>
    </row>
    <row r="4037" spans="1:2" x14ac:dyDescent="0.25">
      <c r="A4037" s="4">
        <v>4032</v>
      </c>
      <c r="B4037" s="3" t="str">
        <f>"00368306"</f>
        <v>00368306</v>
      </c>
    </row>
    <row r="4038" spans="1:2" x14ac:dyDescent="0.25">
      <c r="A4038" s="4">
        <v>4033</v>
      </c>
      <c r="B4038" s="3" t="str">
        <f>"00368314"</f>
        <v>00368314</v>
      </c>
    </row>
    <row r="4039" spans="1:2" x14ac:dyDescent="0.25">
      <c r="A4039" s="4">
        <v>4034</v>
      </c>
      <c r="B4039" s="3" t="str">
        <f>"00368325"</f>
        <v>00368325</v>
      </c>
    </row>
    <row r="4040" spans="1:2" x14ac:dyDescent="0.25">
      <c r="A4040" s="4">
        <v>4035</v>
      </c>
      <c r="B4040" s="3" t="str">
        <f>"00368341"</f>
        <v>00368341</v>
      </c>
    </row>
    <row r="4041" spans="1:2" x14ac:dyDescent="0.25">
      <c r="A4041" s="4">
        <v>4036</v>
      </c>
      <c r="B4041" s="3" t="str">
        <f>"00368345"</f>
        <v>00368345</v>
      </c>
    </row>
    <row r="4042" spans="1:2" x14ac:dyDescent="0.25">
      <c r="A4042" s="4">
        <v>4037</v>
      </c>
      <c r="B4042" s="3" t="str">
        <f>"00368367"</f>
        <v>00368367</v>
      </c>
    </row>
    <row r="4043" spans="1:2" x14ac:dyDescent="0.25">
      <c r="A4043" s="4">
        <v>4038</v>
      </c>
      <c r="B4043" s="3" t="str">
        <f>"00368448"</f>
        <v>00368448</v>
      </c>
    </row>
    <row r="4044" spans="1:2" x14ac:dyDescent="0.25">
      <c r="A4044" s="4">
        <v>4039</v>
      </c>
      <c r="B4044" s="3" t="str">
        <f>"00368470"</f>
        <v>00368470</v>
      </c>
    </row>
    <row r="4045" spans="1:2" x14ac:dyDescent="0.25">
      <c r="A4045" s="4">
        <v>4040</v>
      </c>
      <c r="B4045" s="3" t="str">
        <f>"00368488"</f>
        <v>00368488</v>
      </c>
    </row>
    <row r="4046" spans="1:2" x14ac:dyDescent="0.25">
      <c r="A4046" s="4">
        <v>4041</v>
      </c>
      <c r="B4046" s="3" t="str">
        <f>"00368517"</f>
        <v>00368517</v>
      </c>
    </row>
    <row r="4047" spans="1:2" x14ac:dyDescent="0.25">
      <c r="A4047" s="4">
        <v>4042</v>
      </c>
      <c r="B4047" s="3" t="str">
        <f>"00368520"</f>
        <v>00368520</v>
      </c>
    </row>
    <row r="4048" spans="1:2" x14ac:dyDescent="0.25">
      <c r="A4048" s="4">
        <v>4043</v>
      </c>
      <c r="B4048" s="3" t="str">
        <f>"00368545"</f>
        <v>00368545</v>
      </c>
    </row>
    <row r="4049" spans="1:2" x14ac:dyDescent="0.25">
      <c r="A4049" s="4">
        <v>4044</v>
      </c>
      <c r="B4049" s="3" t="str">
        <f>"00368559"</f>
        <v>00368559</v>
      </c>
    </row>
    <row r="4050" spans="1:2" x14ac:dyDescent="0.25">
      <c r="A4050" s="4">
        <v>4045</v>
      </c>
      <c r="B4050" s="3" t="str">
        <f>"00368631"</f>
        <v>00368631</v>
      </c>
    </row>
    <row r="4051" spans="1:2" x14ac:dyDescent="0.25">
      <c r="A4051" s="4">
        <v>4046</v>
      </c>
      <c r="B4051" s="3" t="str">
        <f>"00368651"</f>
        <v>00368651</v>
      </c>
    </row>
    <row r="4052" spans="1:2" x14ac:dyDescent="0.25">
      <c r="A4052" s="4">
        <v>4047</v>
      </c>
      <c r="B4052" s="3" t="str">
        <f>"00368675"</f>
        <v>00368675</v>
      </c>
    </row>
    <row r="4053" spans="1:2" x14ac:dyDescent="0.25">
      <c r="A4053" s="4">
        <v>4048</v>
      </c>
      <c r="B4053" s="3" t="str">
        <f>"00368685"</f>
        <v>00368685</v>
      </c>
    </row>
    <row r="4054" spans="1:2" x14ac:dyDescent="0.25">
      <c r="A4054" s="4">
        <v>4049</v>
      </c>
      <c r="B4054" s="3" t="str">
        <f>"00368705"</f>
        <v>00368705</v>
      </c>
    </row>
    <row r="4055" spans="1:2" x14ac:dyDescent="0.25">
      <c r="A4055" s="4">
        <v>4050</v>
      </c>
      <c r="B4055" s="3" t="str">
        <f>"00368761"</f>
        <v>00368761</v>
      </c>
    </row>
    <row r="4056" spans="1:2" x14ac:dyDescent="0.25">
      <c r="A4056" s="4">
        <v>4051</v>
      </c>
      <c r="B4056" s="3" t="str">
        <f>"00368852"</f>
        <v>00368852</v>
      </c>
    </row>
    <row r="4057" spans="1:2" x14ac:dyDescent="0.25">
      <c r="A4057" s="4">
        <v>4052</v>
      </c>
      <c r="B4057" s="3" t="str">
        <f>"00368883"</f>
        <v>00368883</v>
      </c>
    </row>
    <row r="4058" spans="1:2" x14ac:dyDescent="0.25">
      <c r="A4058" s="4">
        <v>4053</v>
      </c>
      <c r="B4058" s="3" t="str">
        <f>"00369025"</f>
        <v>00369025</v>
      </c>
    </row>
    <row r="4059" spans="1:2" x14ac:dyDescent="0.25">
      <c r="A4059" s="4">
        <v>4054</v>
      </c>
      <c r="B4059" s="3" t="str">
        <f>"00369037"</f>
        <v>00369037</v>
      </c>
    </row>
    <row r="4060" spans="1:2" x14ac:dyDescent="0.25">
      <c r="A4060" s="4">
        <v>4055</v>
      </c>
      <c r="B4060" s="3" t="str">
        <f>"00369078"</f>
        <v>00369078</v>
      </c>
    </row>
    <row r="4061" spans="1:2" x14ac:dyDescent="0.25">
      <c r="A4061" s="4">
        <v>4056</v>
      </c>
      <c r="B4061" s="3" t="str">
        <f>"00369138"</f>
        <v>00369138</v>
      </c>
    </row>
    <row r="4062" spans="1:2" x14ac:dyDescent="0.25">
      <c r="A4062" s="4">
        <v>4057</v>
      </c>
      <c r="B4062" s="3" t="str">
        <f>"00369185"</f>
        <v>00369185</v>
      </c>
    </row>
    <row r="4063" spans="1:2" x14ac:dyDescent="0.25">
      <c r="A4063" s="4">
        <v>4058</v>
      </c>
      <c r="B4063" s="3" t="str">
        <f>"00369199"</f>
        <v>00369199</v>
      </c>
    </row>
    <row r="4064" spans="1:2" x14ac:dyDescent="0.25">
      <c r="A4064" s="4">
        <v>4059</v>
      </c>
      <c r="B4064" s="3" t="str">
        <f>"00369226"</f>
        <v>00369226</v>
      </c>
    </row>
    <row r="4065" spans="1:2" x14ac:dyDescent="0.25">
      <c r="A4065" s="4">
        <v>4060</v>
      </c>
      <c r="B4065" s="3" t="str">
        <f>"00369297"</f>
        <v>00369297</v>
      </c>
    </row>
    <row r="4066" spans="1:2" x14ac:dyDescent="0.25">
      <c r="A4066" s="4">
        <v>4061</v>
      </c>
      <c r="B4066" s="3" t="str">
        <f>"00369334"</f>
        <v>00369334</v>
      </c>
    </row>
    <row r="4067" spans="1:2" x14ac:dyDescent="0.25">
      <c r="A4067" s="4">
        <v>4062</v>
      </c>
      <c r="B4067" s="3" t="str">
        <f>"00369519"</f>
        <v>00369519</v>
      </c>
    </row>
    <row r="4068" spans="1:2" x14ac:dyDescent="0.25">
      <c r="A4068" s="4">
        <v>4063</v>
      </c>
      <c r="B4068" s="3" t="str">
        <f>"00369555"</f>
        <v>00369555</v>
      </c>
    </row>
    <row r="4069" spans="1:2" x14ac:dyDescent="0.25">
      <c r="A4069" s="4">
        <v>4064</v>
      </c>
      <c r="B4069" s="3" t="str">
        <f>"00369755"</f>
        <v>00369755</v>
      </c>
    </row>
    <row r="4070" spans="1:2" x14ac:dyDescent="0.25">
      <c r="A4070" s="4">
        <v>4065</v>
      </c>
      <c r="B4070" s="3" t="str">
        <f>"00369781"</f>
        <v>00369781</v>
      </c>
    </row>
    <row r="4071" spans="1:2" x14ac:dyDescent="0.25">
      <c r="A4071" s="4">
        <v>4066</v>
      </c>
      <c r="B4071" s="3" t="str">
        <f>"00369783"</f>
        <v>00369783</v>
      </c>
    </row>
    <row r="4072" spans="1:2" x14ac:dyDescent="0.25">
      <c r="A4072" s="4">
        <v>4067</v>
      </c>
      <c r="B4072" s="3" t="str">
        <f>"00369802"</f>
        <v>00369802</v>
      </c>
    </row>
    <row r="4073" spans="1:2" x14ac:dyDescent="0.25">
      <c r="A4073" s="4">
        <v>4068</v>
      </c>
      <c r="B4073" s="3" t="str">
        <f>"00369840"</f>
        <v>00369840</v>
      </c>
    </row>
    <row r="4074" spans="1:2" x14ac:dyDescent="0.25">
      <c r="A4074" s="4">
        <v>4069</v>
      </c>
      <c r="B4074" s="3" t="str">
        <f>"00369844"</f>
        <v>00369844</v>
      </c>
    </row>
    <row r="4075" spans="1:2" x14ac:dyDescent="0.25">
      <c r="A4075" s="4">
        <v>4070</v>
      </c>
      <c r="B4075" s="3" t="str">
        <f>"00369882"</f>
        <v>00369882</v>
      </c>
    </row>
    <row r="4076" spans="1:2" x14ac:dyDescent="0.25">
      <c r="A4076" s="4">
        <v>4071</v>
      </c>
      <c r="B4076" s="3" t="str">
        <f>"00369930"</f>
        <v>00369930</v>
      </c>
    </row>
    <row r="4077" spans="1:2" x14ac:dyDescent="0.25">
      <c r="A4077" s="4">
        <v>4072</v>
      </c>
      <c r="B4077" s="3" t="str">
        <f>"00369939"</f>
        <v>00369939</v>
      </c>
    </row>
    <row r="4078" spans="1:2" x14ac:dyDescent="0.25">
      <c r="A4078" s="4">
        <v>4073</v>
      </c>
      <c r="B4078" s="3" t="str">
        <f>"00370010"</f>
        <v>00370010</v>
      </c>
    </row>
    <row r="4079" spans="1:2" x14ac:dyDescent="0.25">
      <c r="A4079" s="4">
        <v>4074</v>
      </c>
      <c r="B4079" s="3" t="str">
        <f>"00370149"</f>
        <v>00370149</v>
      </c>
    </row>
    <row r="4080" spans="1:2" x14ac:dyDescent="0.25">
      <c r="A4080" s="4">
        <v>4075</v>
      </c>
      <c r="B4080" s="3" t="str">
        <f>"00370156"</f>
        <v>00370156</v>
      </c>
    </row>
    <row r="4081" spans="1:2" x14ac:dyDescent="0.25">
      <c r="A4081" s="4">
        <v>4076</v>
      </c>
      <c r="B4081" s="3" t="str">
        <f>"00370195"</f>
        <v>00370195</v>
      </c>
    </row>
    <row r="4082" spans="1:2" x14ac:dyDescent="0.25">
      <c r="A4082" s="4">
        <v>4077</v>
      </c>
      <c r="B4082" s="3" t="str">
        <f>"00370217"</f>
        <v>00370217</v>
      </c>
    </row>
    <row r="4083" spans="1:2" x14ac:dyDescent="0.25">
      <c r="A4083" s="4">
        <v>4078</v>
      </c>
      <c r="B4083" s="3" t="str">
        <f>"00370276"</f>
        <v>00370276</v>
      </c>
    </row>
    <row r="4084" spans="1:2" x14ac:dyDescent="0.25">
      <c r="A4084" s="4">
        <v>4079</v>
      </c>
      <c r="B4084" s="3" t="str">
        <f>"00370330"</f>
        <v>00370330</v>
      </c>
    </row>
    <row r="4085" spans="1:2" x14ac:dyDescent="0.25">
      <c r="A4085" s="4">
        <v>4080</v>
      </c>
      <c r="B4085" s="3" t="str">
        <f>"00370361"</f>
        <v>00370361</v>
      </c>
    </row>
    <row r="4086" spans="1:2" x14ac:dyDescent="0.25">
      <c r="A4086" s="4">
        <v>4081</v>
      </c>
      <c r="B4086" s="3" t="str">
        <f>"00370363"</f>
        <v>00370363</v>
      </c>
    </row>
    <row r="4087" spans="1:2" x14ac:dyDescent="0.25">
      <c r="A4087" s="4">
        <v>4082</v>
      </c>
      <c r="B4087" s="3" t="str">
        <f>"00370641"</f>
        <v>00370641</v>
      </c>
    </row>
    <row r="4088" spans="1:2" x14ac:dyDescent="0.25">
      <c r="A4088" s="4">
        <v>4083</v>
      </c>
      <c r="B4088" s="3" t="str">
        <f>"00370646"</f>
        <v>00370646</v>
      </c>
    </row>
    <row r="4089" spans="1:2" x14ac:dyDescent="0.25">
      <c r="A4089" s="4">
        <v>4084</v>
      </c>
      <c r="B4089" s="3" t="str">
        <f>"00370669"</f>
        <v>00370669</v>
      </c>
    </row>
    <row r="4090" spans="1:2" x14ac:dyDescent="0.25">
      <c r="A4090" s="4">
        <v>4085</v>
      </c>
      <c r="B4090" s="3" t="str">
        <f>"00370683"</f>
        <v>00370683</v>
      </c>
    </row>
    <row r="4091" spans="1:2" x14ac:dyDescent="0.25">
      <c r="A4091" s="4">
        <v>4086</v>
      </c>
      <c r="B4091" s="3" t="str">
        <f>"00370701"</f>
        <v>00370701</v>
      </c>
    </row>
    <row r="4092" spans="1:2" x14ac:dyDescent="0.25">
      <c r="A4092" s="4">
        <v>4087</v>
      </c>
      <c r="B4092" s="3" t="str">
        <f>"00370733"</f>
        <v>00370733</v>
      </c>
    </row>
    <row r="4093" spans="1:2" x14ac:dyDescent="0.25">
      <c r="A4093" s="4">
        <v>4088</v>
      </c>
      <c r="B4093" s="3" t="str">
        <f>"00370752"</f>
        <v>00370752</v>
      </c>
    </row>
    <row r="4094" spans="1:2" x14ac:dyDescent="0.25">
      <c r="A4094" s="4">
        <v>4089</v>
      </c>
      <c r="B4094" s="3" t="str">
        <f>"00370755"</f>
        <v>00370755</v>
      </c>
    </row>
    <row r="4095" spans="1:2" x14ac:dyDescent="0.25">
      <c r="A4095" s="4">
        <v>4090</v>
      </c>
      <c r="B4095" s="3" t="str">
        <f>"00370792"</f>
        <v>00370792</v>
      </c>
    </row>
    <row r="4096" spans="1:2" x14ac:dyDescent="0.25">
      <c r="A4096" s="4">
        <v>4091</v>
      </c>
      <c r="B4096" s="3" t="str">
        <f>"00370874"</f>
        <v>00370874</v>
      </c>
    </row>
    <row r="4097" spans="1:2" x14ac:dyDescent="0.25">
      <c r="A4097" s="4">
        <v>4092</v>
      </c>
      <c r="B4097" s="3" t="str">
        <f>"00370889"</f>
        <v>00370889</v>
      </c>
    </row>
    <row r="4098" spans="1:2" x14ac:dyDescent="0.25">
      <c r="A4098" s="4">
        <v>4093</v>
      </c>
      <c r="B4098" s="3" t="str">
        <f>"00370921"</f>
        <v>00370921</v>
      </c>
    </row>
    <row r="4099" spans="1:2" x14ac:dyDescent="0.25">
      <c r="A4099" s="4">
        <v>4094</v>
      </c>
      <c r="B4099" s="3" t="str">
        <f>"00370928"</f>
        <v>00370928</v>
      </c>
    </row>
    <row r="4100" spans="1:2" x14ac:dyDescent="0.25">
      <c r="A4100" s="4">
        <v>4095</v>
      </c>
      <c r="B4100" s="3" t="str">
        <f>"00370934"</f>
        <v>00370934</v>
      </c>
    </row>
    <row r="4101" spans="1:2" x14ac:dyDescent="0.25">
      <c r="A4101" s="4">
        <v>4096</v>
      </c>
      <c r="B4101" s="3" t="str">
        <f>"00370945"</f>
        <v>00370945</v>
      </c>
    </row>
    <row r="4102" spans="1:2" x14ac:dyDescent="0.25">
      <c r="A4102" s="4">
        <v>4097</v>
      </c>
      <c r="B4102" s="3" t="str">
        <f>"00370995"</f>
        <v>00370995</v>
      </c>
    </row>
    <row r="4103" spans="1:2" x14ac:dyDescent="0.25">
      <c r="A4103" s="4">
        <v>4098</v>
      </c>
      <c r="B4103" s="3" t="str">
        <f>"00370996"</f>
        <v>00370996</v>
      </c>
    </row>
    <row r="4104" spans="1:2" x14ac:dyDescent="0.25">
      <c r="A4104" s="4">
        <v>4099</v>
      </c>
      <c r="B4104" s="3" t="str">
        <f>"00371003"</f>
        <v>00371003</v>
      </c>
    </row>
    <row r="4105" spans="1:2" x14ac:dyDescent="0.25">
      <c r="A4105" s="4">
        <v>4100</v>
      </c>
      <c r="B4105" s="3" t="str">
        <f>"00371005"</f>
        <v>00371005</v>
      </c>
    </row>
    <row r="4106" spans="1:2" x14ac:dyDescent="0.25">
      <c r="A4106" s="4">
        <v>4101</v>
      </c>
      <c r="B4106" s="3" t="str">
        <f>"00371041"</f>
        <v>00371041</v>
      </c>
    </row>
    <row r="4107" spans="1:2" x14ac:dyDescent="0.25">
      <c r="A4107" s="4">
        <v>4102</v>
      </c>
      <c r="B4107" s="3" t="str">
        <f>"00371121"</f>
        <v>00371121</v>
      </c>
    </row>
    <row r="4108" spans="1:2" x14ac:dyDescent="0.25">
      <c r="A4108" s="4">
        <v>4103</v>
      </c>
      <c r="B4108" s="3" t="str">
        <f>"00371175"</f>
        <v>00371175</v>
      </c>
    </row>
    <row r="4109" spans="1:2" x14ac:dyDescent="0.25">
      <c r="A4109" s="4">
        <v>4104</v>
      </c>
      <c r="B4109" s="3" t="str">
        <f>"00371182"</f>
        <v>00371182</v>
      </c>
    </row>
    <row r="4110" spans="1:2" x14ac:dyDescent="0.25">
      <c r="A4110" s="4">
        <v>4105</v>
      </c>
      <c r="B4110" s="3" t="str">
        <f>"00371211"</f>
        <v>00371211</v>
      </c>
    </row>
    <row r="4111" spans="1:2" x14ac:dyDescent="0.25">
      <c r="A4111" s="4">
        <v>4106</v>
      </c>
      <c r="B4111" s="3" t="str">
        <f>"00371246"</f>
        <v>00371246</v>
      </c>
    </row>
    <row r="4112" spans="1:2" x14ac:dyDescent="0.25">
      <c r="A4112" s="4">
        <v>4107</v>
      </c>
      <c r="B4112" s="3" t="str">
        <f>"00371252"</f>
        <v>00371252</v>
      </c>
    </row>
    <row r="4113" spans="1:2" x14ac:dyDescent="0.25">
      <c r="A4113" s="4">
        <v>4108</v>
      </c>
      <c r="B4113" s="3" t="str">
        <f>"00371255"</f>
        <v>00371255</v>
      </c>
    </row>
    <row r="4114" spans="1:2" x14ac:dyDescent="0.25">
      <c r="A4114" s="4">
        <v>4109</v>
      </c>
      <c r="B4114" s="3" t="str">
        <f>"00371283"</f>
        <v>00371283</v>
      </c>
    </row>
    <row r="4115" spans="1:2" x14ac:dyDescent="0.25">
      <c r="A4115" s="4">
        <v>4110</v>
      </c>
      <c r="B4115" s="3" t="str">
        <f>"00371330"</f>
        <v>00371330</v>
      </c>
    </row>
    <row r="4116" spans="1:2" x14ac:dyDescent="0.25">
      <c r="A4116" s="4">
        <v>4111</v>
      </c>
      <c r="B4116" s="3" t="str">
        <f>"00371343"</f>
        <v>00371343</v>
      </c>
    </row>
    <row r="4117" spans="1:2" x14ac:dyDescent="0.25">
      <c r="A4117" s="4">
        <v>4112</v>
      </c>
      <c r="B4117" s="3" t="str">
        <f>"00371360"</f>
        <v>00371360</v>
      </c>
    </row>
    <row r="4118" spans="1:2" x14ac:dyDescent="0.25">
      <c r="A4118" s="4">
        <v>4113</v>
      </c>
      <c r="B4118" s="3" t="str">
        <f>"00371397"</f>
        <v>00371397</v>
      </c>
    </row>
    <row r="4119" spans="1:2" x14ac:dyDescent="0.25">
      <c r="A4119" s="4">
        <v>4114</v>
      </c>
      <c r="B4119" s="3" t="str">
        <f>"00371437"</f>
        <v>00371437</v>
      </c>
    </row>
    <row r="4120" spans="1:2" x14ac:dyDescent="0.25">
      <c r="A4120" s="4">
        <v>4115</v>
      </c>
      <c r="B4120" s="3" t="str">
        <f>"00371515"</f>
        <v>00371515</v>
      </c>
    </row>
    <row r="4121" spans="1:2" x14ac:dyDescent="0.25">
      <c r="A4121" s="4">
        <v>4116</v>
      </c>
      <c r="B4121" s="3" t="str">
        <f>"00371583"</f>
        <v>00371583</v>
      </c>
    </row>
    <row r="4122" spans="1:2" x14ac:dyDescent="0.25">
      <c r="A4122" s="4">
        <v>4117</v>
      </c>
      <c r="B4122" s="3" t="str">
        <f>"00371685"</f>
        <v>00371685</v>
      </c>
    </row>
    <row r="4123" spans="1:2" x14ac:dyDescent="0.25">
      <c r="A4123" s="4">
        <v>4118</v>
      </c>
      <c r="B4123" s="3" t="str">
        <f>"00371687"</f>
        <v>00371687</v>
      </c>
    </row>
    <row r="4124" spans="1:2" x14ac:dyDescent="0.25">
      <c r="A4124" s="4">
        <v>4119</v>
      </c>
      <c r="B4124" s="3" t="str">
        <f>"00371699"</f>
        <v>00371699</v>
      </c>
    </row>
    <row r="4125" spans="1:2" x14ac:dyDescent="0.25">
      <c r="A4125" s="4">
        <v>4120</v>
      </c>
      <c r="B4125" s="3" t="str">
        <f>"00371789"</f>
        <v>00371789</v>
      </c>
    </row>
    <row r="4126" spans="1:2" x14ac:dyDescent="0.25">
      <c r="A4126" s="4">
        <v>4121</v>
      </c>
      <c r="B4126" s="3" t="str">
        <f>"00371937"</f>
        <v>00371937</v>
      </c>
    </row>
    <row r="4127" spans="1:2" x14ac:dyDescent="0.25">
      <c r="A4127" s="4">
        <v>4122</v>
      </c>
      <c r="B4127" s="3" t="str">
        <f>"00371971"</f>
        <v>00371971</v>
      </c>
    </row>
    <row r="4128" spans="1:2" x14ac:dyDescent="0.25">
      <c r="A4128" s="4">
        <v>4123</v>
      </c>
      <c r="B4128" s="3" t="str">
        <f>"00371998"</f>
        <v>00371998</v>
      </c>
    </row>
    <row r="4129" spans="1:2" x14ac:dyDescent="0.25">
      <c r="A4129" s="4">
        <v>4124</v>
      </c>
      <c r="B4129" s="3" t="str">
        <f>"00372114"</f>
        <v>00372114</v>
      </c>
    </row>
    <row r="4130" spans="1:2" x14ac:dyDescent="0.25">
      <c r="A4130" s="4">
        <v>4125</v>
      </c>
      <c r="B4130" s="3" t="str">
        <f>"00372118"</f>
        <v>00372118</v>
      </c>
    </row>
    <row r="4131" spans="1:2" x14ac:dyDescent="0.25">
      <c r="A4131" s="4">
        <v>4126</v>
      </c>
      <c r="B4131" s="3" t="str">
        <f>"00372120"</f>
        <v>00372120</v>
      </c>
    </row>
    <row r="4132" spans="1:2" x14ac:dyDescent="0.25">
      <c r="A4132" s="4">
        <v>4127</v>
      </c>
      <c r="B4132" s="3" t="str">
        <f>"00372125"</f>
        <v>00372125</v>
      </c>
    </row>
    <row r="4133" spans="1:2" x14ac:dyDescent="0.25">
      <c r="A4133" s="4">
        <v>4128</v>
      </c>
      <c r="B4133" s="3" t="str">
        <f>"00372161"</f>
        <v>00372161</v>
      </c>
    </row>
    <row r="4134" spans="1:2" x14ac:dyDescent="0.25">
      <c r="A4134" s="4">
        <v>4129</v>
      </c>
      <c r="B4134" s="3" t="str">
        <f>"00372181"</f>
        <v>00372181</v>
      </c>
    </row>
    <row r="4135" spans="1:2" x14ac:dyDescent="0.25">
      <c r="A4135" s="4">
        <v>4130</v>
      </c>
      <c r="B4135" s="3" t="str">
        <f>"00372215"</f>
        <v>00372215</v>
      </c>
    </row>
    <row r="4136" spans="1:2" x14ac:dyDescent="0.25">
      <c r="A4136" s="4">
        <v>4131</v>
      </c>
      <c r="B4136" s="3" t="str">
        <f>"00372220"</f>
        <v>00372220</v>
      </c>
    </row>
    <row r="4137" spans="1:2" x14ac:dyDescent="0.25">
      <c r="A4137" s="4">
        <v>4132</v>
      </c>
      <c r="B4137" s="3" t="str">
        <f>"00372243"</f>
        <v>00372243</v>
      </c>
    </row>
    <row r="4138" spans="1:2" x14ac:dyDescent="0.25">
      <c r="A4138" s="4">
        <v>4133</v>
      </c>
      <c r="B4138" s="3" t="str">
        <f>"00372246"</f>
        <v>00372246</v>
      </c>
    </row>
    <row r="4139" spans="1:2" x14ac:dyDescent="0.25">
      <c r="A4139" s="4">
        <v>4134</v>
      </c>
      <c r="B4139" s="3" t="str">
        <f>"00372317"</f>
        <v>00372317</v>
      </c>
    </row>
    <row r="4140" spans="1:2" x14ac:dyDescent="0.25">
      <c r="A4140" s="4">
        <v>4135</v>
      </c>
      <c r="B4140" s="3" t="str">
        <f>"00372339"</f>
        <v>00372339</v>
      </c>
    </row>
    <row r="4141" spans="1:2" x14ac:dyDescent="0.25">
      <c r="A4141" s="4">
        <v>4136</v>
      </c>
      <c r="B4141" s="3" t="str">
        <f>"00372359"</f>
        <v>00372359</v>
      </c>
    </row>
    <row r="4142" spans="1:2" x14ac:dyDescent="0.25">
      <c r="A4142" s="4">
        <v>4137</v>
      </c>
      <c r="B4142" s="3" t="str">
        <f>"00372378"</f>
        <v>00372378</v>
      </c>
    </row>
    <row r="4143" spans="1:2" x14ac:dyDescent="0.25">
      <c r="A4143" s="4">
        <v>4138</v>
      </c>
      <c r="B4143" s="3" t="str">
        <f>"00372467"</f>
        <v>00372467</v>
      </c>
    </row>
    <row r="4144" spans="1:2" x14ac:dyDescent="0.25">
      <c r="A4144" s="4">
        <v>4139</v>
      </c>
      <c r="B4144" s="3" t="str">
        <f>"00372499"</f>
        <v>00372499</v>
      </c>
    </row>
    <row r="4145" spans="1:2" x14ac:dyDescent="0.25">
      <c r="A4145" s="4">
        <v>4140</v>
      </c>
      <c r="B4145" s="3" t="str">
        <f>"00372569"</f>
        <v>00372569</v>
      </c>
    </row>
    <row r="4146" spans="1:2" x14ac:dyDescent="0.25">
      <c r="A4146" s="4">
        <v>4141</v>
      </c>
      <c r="B4146" s="3" t="str">
        <f>"00372631"</f>
        <v>00372631</v>
      </c>
    </row>
    <row r="4147" spans="1:2" x14ac:dyDescent="0.25">
      <c r="A4147" s="4">
        <v>4142</v>
      </c>
      <c r="B4147" s="3" t="str">
        <f>"00372685"</f>
        <v>00372685</v>
      </c>
    </row>
    <row r="4148" spans="1:2" x14ac:dyDescent="0.25">
      <c r="A4148" s="4">
        <v>4143</v>
      </c>
      <c r="B4148" s="3" t="str">
        <f>"00372689"</f>
        <v>00372689</v>
      </c>
    </row>
    <row r="4149" spans="1:2" x14ac:dyDescent="0.25">
      <c r="A4149" s="4">
        <v>4144</v>
      </c>
      <c r="B4149" s="3" t="str">
        <f>"00372690"</f>
        <v>00372690</v>
      </c>
    </row>
    <row r="4150" spans="1:2" x14ac:dyDescent="0.25">
      <c r="A4150" s="4">
        <v>4145</v>
      </c>
      <c r="B4150" s="3" t="str">
        <f>"00372735"</f>
        <v>00372735</v>
      </c>
    </row>
    <row r="4151" spans="1:2" x14ac:dyDescent="0.25">
      <c r="A4151" s="4">
        <v>4146</v>
      </c>
      <c r="B4151" s="3" t="str">
        <f>"00372786"</f>
        <v>00372786</v>
      </c>
    </row>
    <row r="4152" spans="1:2" x14ac:dyDescent="0.25">
      <c r="A4152" s="4">
        <v>4147</v>
      </c>
      <c r="B4152" s="3" t="str">
        <f>"00372810"</f>
        <v>00372810</v>
      </c>
    </row>
    <row r="4153" spans="1:2" x14ac:dyDescent="0.25">
      <c r="A4153" s="4">
        <v>4148</v>
      </c>
      <c r="B4153" s="3" t="str">
        <f>"00372824"</f>
        <v>00372824</v>
      </c>
    </row>
    <row r="4154" spans="1:2" x14ac:dyDescent="0.25">
      <c r="A4154" s="4">
        <v>4149</v>
      </c>
      <c r="B4154" s="3" t="str">
        <f>"00372834"</f>
        <v>00372834</v>
      </c>
    </row>
    <row r="4155" spans="1:2" x14ac:dyDescent="0.25">
      <c r="A4155" s="4">
        <v>4150</v>
      </c>
      <c r="B4155" s="3" t="str">
        <f>"00372955"</f>
        <v>00372955</v>
      </c>
    </row>
    <row r="4156" spans="1:2" x14ac:dyDescent="0.25">
      <c r="A4156" s="4">
        <v>4151</v>
      </c>
      <c r="B4156" s="3" t="str">
        <f>"00372964"</f>
        <v>00372964</v>
      </c>
    </row>
    <row r="4157" spans="1:2" x14ac:dyDescent="0.25">
      <c r="A4157" s="4">
        <v>4152</v>
      </c>
      <c r="B4157" s="3" t="str">
        <f>"00373036"</f>
        <v>00373036</v>
      </c>
    </row>
    <row r="4158" spans="1:2" x14ac:dyDescent="0.25">
      <c r="A4158" s="4">
        <v>4153</v>
      </c>
      <c r="B4158" s="3" t="str">
        <f>"00373041"</f>
        <v>00373041</v>
      </c>
    </row>
    <row r="4159" spans="1:2" x14ac:dyDescent="0.25">
      <c r="A4159" s="4">
        <v>4154</v>
      </c>
      <c r="B4159" s="3" t="str">
        <f>"00373047"</f>
        <v>00373047</v>
      </c>
    </row>
    <row r="4160" spans="1:2" x14ac:dyDescent="0.25">
      <c r="A4160" s="4">
        <v>4155</v>
      </c>
      <c r="B4160" s="3" t="str">
        <f>"00373048"</f>
        <v>00373048</v>
      </c>
    </row>
    <row r="4161" spans="1:2" x14ac:dyDescent="0.25">
      <c r="A4161" s="4">
        <v>4156</v>
      </c>
      <c r="B4161" s="3" t="str">
        <f>"00373061"</f>
        <v>00373061</v>
      </c>
    </row>
    <row r="4162" spans="1:2" x14ac:dyDescent="0.25">
      <c r="A4162" s="4">
        <v>4157</v>
      </c>
      <c r="B4162" s="3" t="str">
        <f>"00373112"</f>
        <v>00373112</v>
      </c>
    </row>
    <row r="4163" spans="1:2" x14ac:dyDescent="0.25">
      <c r="A4163" s="4">
        <v>4158</v>
      </c>
      <c r="B4163" s="3" t="str">
        <f>"00373212"</f>
        <v>00373212</v>
      </c>
    </row>
    <row r="4164" spans="1:2" x14ac:dyDescent="0.25">
      <c r="A4164" s="4">
        <v>4159</v>
      </c>
      <c r="B4164" s="3" t="str">
        <f>"00373238"</f>
        <v>00373238</v>
      </c>
    </row>
    <row r="4165" spans="1:2" x14ac:dyDescent="0.25">
      <c r="A4165" s="4">
        <v>4160</v>
      </c>
      <c r="B4165" s="3" t="str">
        <f>"00373434"</f>
        <v>00373434</v>
      </c>
    </row>
    <row r="4166" spans="1:2" x14ac:dyDescent="0.25">
      <c r="A4166" s="4">
        <v>4161</v>
      </c>
      <c r="B4166" s="3" t="str">
        <f>"00373452"</f>
        <v>00373452</v>
      </c>
    </row>
    <row r="4167" spans="1:2" x14ac:dyDescent="0.25">
      <c r="A4167" s="4">
        <v>4162</v>
      </c>
      <c r="B4167" s="3" t="str">
        <f>"00373457"</f>
        <v>00373457</v>
      </c>
    </row>
    <row r="4168" spans="1:2" x14ac:dyDescent="0.25">
      <c r="A4168" s="4">
        <v>4163</v>
      </c>
      <c r="B4168" s="3" t="str">
        <f>"00373462"</f>
        <v>00373462</v>
      </c>
    </row>
    <row r="4169" spans="1:2" x14ac:dyDescent="0.25">
      <c r="A4169" s="4">
        <v>4164</v>
      </c>
      <c r="B4169" s="3" t="str">
        <f>"00373464"</f>
        <v>00373464</v>
      </c>
    </row>
    <row r="4170" spans="1:2" x14ac:dyDescent="0.25">
      <c r="A4170" s="4">
        <v>4165</v>
      </c>
      <c r="B4170" s="3" t="str">
        <f>"00373492"</f>
        <v>00373492</v>
      </c>
    </row>
    <row r="4171" spans="1:2" x14ac:dyDescent="0.25">
      <c r="A4171" s="4">
        <v>4166</v>
      </c>
      <c r="B4171" s="3" t="str">
        <f>"00373498"</f>
        <v>00373498</v>
      </c>
    </row>
    <row r="4172" spans="1:2" x14ac:dyDescent="0.25">
      <c r="A4172" s="4">
        <v>4167</v>
      </c>
      <c r="B4172" s="3" t="str">
        <f>"00373522"</f>
        <v>00373522</v>
      </c>
    </row>
    <row r="4173" spans="1:2" x14ac:dyDescent="0.25">
      <c r="A4173" s="4">
        <v>4168</v>
      </c>
      <c r="B4173" s="3" t="str">
        <f>"00373598"</f>
        <v>00373598</v>
      </c>
    </row>
    <row r="4174" spans="1:2" x14ac:dyDescent="0.25">
      <c r="A4174" s="4">
        <v>4169</v>
      </c>
      <c r="B4174" s="3" t="str">
        <f>"00373686"</f>
        <v>00373686</v>
      </c>
    </row>
    <row r="4175" spans="1:2" x14ac:dyDescent="0.25">
      <c r="A4175" s="4">
        <v>4170</v>
      </c>
      <c r="B4175" s="3" t="str">
        <f>"00373697"</f>
        <v>00373697</v>
      </c>
    </row>
    <row r="4176" spans="1:2" x14ac:dyDescent="0.25">
      <c r="A4176" s="4">
        <v>4171</v>
      </c>
      <c r="B4176" s="3" t="str">
        <f>"00373705"</f>
        <v>00373705</v>
      </c>
    </row>
    <row r="4177" spans="1:2" x14ac:dyDescent="0.25">
      <c r="A4177" s="4">
        <v>4172</v>
      </c>
      <c r="B4177" s="3" t="str">
        <f>"00373708"</f>
        <v>00373708</v>
      </c>
    </row>
    <row r="4178" spans="1:2" x14ac:dyDescent="0.25">
      <c r="A4178" s="4">
        <v>4173</v>
      </c>
      <c r="B4178" s="3" t="str">
        <f>"00373759"</f>
        <v>00373759</v>
      </c>
    </row>
    <row r="4179" spans="1:2" x14ac:dyDescent="0.25">
      <c r="A4179" s="4">
        <v>4174</v>
      </c>
      <c r="B4179" s="3" t="str">
        <f>"00373760"</f>
        <v>00373760</v>
      </c>
    </row>
    <row r="4180" spans="1:2" x14ac:dyDescent="0.25">
      <c r="A4180" s="4">
        <v>4175</v>
      </c>
      <c r="B4180" s="3" t="str">
        <f>"00373763"</f>
        <v>00373763</v>
      </c>
    </row>
    <row r="4181" spans="1:2" x14ac:dyDescent="0.25">
      <c r="A4181" s="4">
        <v>4176</v>
      </c>
      <c r="B4181" s="3" t="str">
        <f>"00373977"</f>
        <v>00373977</v>
      </c>
    </row>
    <row r="4182" spans="1:2" x14ac:dyDescent="0.25">
      <c r="A4182" s="4">
        <v>4177</v>
      </c>
      <c r="B4182" s="3" t="str">
        <f>"00374065"</f>
        <v>00374065</v>
      </c>
    </row>
    <row r="4183" spans="1:2" x14ac:dyDescent="0.25">
      <c r="A4183" s="4">
        <v>4178</v>
      </c>
      <c r="B4183" s="3" t="str">
        <f>"00374067"</f>
        <v>00374067</v>
      </c>
    </row>
    <row r="4184" spans="1:2" x14ac:dyDescent="0.25">
      <c r="A4184" s="4">
        <v>4179</v>
      </c>
      <c r="B4184" s="3" t="str">
        <f>"00374079"</f>
        <v>00374079</v>
      </c>
    </row>
    <row r="4185" spans="1:2" x14ac:dyDescent="0.25">
      <c r="A4185" s="4">
        <v>4180</v>
      </c>
      <c r="B4185" s="3" t="str">
        <f>"00374250"</f>
        <v>00374250</v>
      </c>
    </row>
    <row r="4186" spans="1:2" x14ac:dyDescent="0.25">
      <c r="A4186" s="4">
        <v>4181</v>
      </c>
      <c r="B4186" s="3" t="str">
        <f>"00374323"</f>
        <v>00374323</v>
      </c>
    </row>
    <row r="4187" spans="1:2" x14ac:dyDescent="0.25">
      <c r="A4187" s="4">
        <v>4182</v>
      </c>
      <c r="B4187" s="3" t="str">
        <f>"00374415"</f>
        <v>00374415</v>
      </c>
    </row>
    <row r="4188" spans="1:2" x14ac:dyDescent="0.25">
      <c r="A4188" s="4">
        <v>4183</v>
      </c>
      <c r="B4188" s="3" t="str">
        <f>"00374442"</f>
        <v>00374442</v>
      </c>
    </row>
    <row r="4189" spans="1:2" x14ac:dyDescent="0.25">
      <c r="A4189" s="4">
        <v>4184</v>
      </c>
      <c r="B4189" s="3" t="str">
        <f>"00374443"</f>
        <v>00374443</v>
      </c>
    </row>
    <row r="4190" spans="1:2" x14ac:dyDescent="0.25">
      <c r="A4190" s="4">
        <v>4185</v>
      </c>
      <c r="B4190" s="3" t="str">
        <f>"00374450"</f>
        <v>00374450</v>
      </c>
    </row>
    <row r="4191" spans="1:2" x14ac:dyDescent="0.25">
      <c r="A4191" s="4">
        <v>4186</v>
      </c>
      <c r="B4191" s="3" t="str">
        <f>"00374461"</f>
        <v>00374461</v>
      </c>
    </row>
    <row r="4192" spans="1:2" x14ac:dyDescent="0.25">
      <c r="A4192" s="4">
        <v>4187</v>
      </c>
      <c r="B4192" s="3" t="str">
        <f>"00374492"</f>
        <v>00374492</v>
      </c>
    </row>
    <row r="4193" spans="1:2" x14ac:dyDescent="0.25">
      <c r="A4193" s="4">
        <v>4188</v>
      </c>
      <c r="B4193" s="3" t="str">
        <f>"00374503"</f>
        <v>00374503</v>
      </c>
    </row>
    <row r="4194" spans="1:2" x14ac:dyDescent="0.25">
      <c r="A4194" s="4">
        <v>4189</v>
      </c>
      <c r="B4194" s="3" t="str">
        <f>"00374506"</f>
        <v>00374506</v>
      </c>
    </row>
    <row r="4195" spans="1:2" x14ac:dyDescent="0.25">
      <c r="A4195" s="4">
        <v>4190</v>
      </c>
      <c r="B4195" s="3" t="str">
        <f>"00374533"</f>
        <v>00374533</v>
      </c>
    </row>
    <row r="4196" spans="1:2" x14ac:dyDescent="0.25">
      <c r="A4196" s="4">
        <v>4191</v>
      </c>
      <c r="B4196" s="3" t="str">
        <f>"00374546"</f>
        <v>00374546</v>
      </c>
    </row>
    <row r="4197" spans="1:2" x14ac:dyDescent="0.25">
      <c r="A4197" s="4">
        <v>4192</v>
      </c>
      <c r="B4197" s="3" t="str">
        <f>"00374574"</f>
        <v>00374574</v>
      </c>
    </row>
    <row r="4198" spans="1:2" x14ac:dyDescent="0.25">
      <c r="A4198" s="4">
        <v>4193</v>
      </c>
      <c r="B4198" s="3" t="str">
        <f>"00374650"</f>
        <v>00374650</v>
      </c>
    </row>
    <row r="4199" spans="1:2" x14ac:dyDescent="0.25">
      <c r="A4199" s="4">
        <v>4194</v>
      </c>
      <c r="B4199" s="3" t="str">
        <f>"00374669"</f>
        <v>00374669</v>
      </c>
    </row>
    <row r="4200" spans="1:2" x14ac:dyDescent="0.25">
      <c r="A4200" s="4">
        <v>4195</v>
      </c>
      <c r="B4200" s="3" t="str">
        <f>"00374697"</f>
        <v>00374697</v>
      </c>
    </row>
    <row r="4201" spans="1:2" x14ac:dyDescent="0.25">
      <c r="A4201" s="4">
        <v>4196</v>
      </c>
      <c r="B4201" s="3" t="str">
        <f>"00374708"</f>
        <v>00374708</v>
      </c>
    </row>
    <row r="4202" spans="1:2" x14ac:dyDescent="0.25">
      <c r="A4202" s="4">
        <v>4197</v>
      </c>
      <c r="B4202" s="3" t="str">
        <f>"00374739"</f>
        <v>00374739</v>
      </c>
    </row>
    <row r="4203" spans="1:2" x14ac:dyDescent="0.25">
      <c r="A4203" s="4">
        <v>4198</v>
      </c>
      <c r="B4203" s="3" t="str">
        <f>"00374769"</f>
        <v>00374769</v>
      </c>
    </row>
    <row r="4204" spans="1:2" x14ac:dyDescent="0.25">
      <c r="A4204" s="4">
        <v>4199</v>
      </c>
      <c r="B4204" s="3" t="str">
        <f>"00374803"</f>
        <v>00374803</v>
      </c>
    </row>
    <row r="4205" spans="1:2" x14ac:dyDescent="0.25">
      <c r="A4205" s="4">
        <v>4200</v>
      </c>
      <c r="B4205" s="3" t="str">
        <f>"00374875"</f>
        <v>00374875</v>
      </c>
    </row>
    <row r="4206" spans="1:2" x14ac:dyDescent="0.25">
      <c r="A4206" s="4">
        <v>4201</v>
      </c>
      <c r="B4206" s="3" t="str">
        <f>"00374891"</f>
        <v>00374891</v>
      </c>
    </row>
    <row r="4207" spans="1:2" x14ac:dyDescent="0.25">
      <c r="A4207" s="4">
        <v>4202</v>
      </c>
      <c r="B4207" s="3" t="str">
        <f>"00374962"</f>
        <v>00374962</v>
      </c>
    </row>
    <row r="4208" spans="1:2" x14ac:dyDescent="0.25">
      <c r="A4208" s="4">
        <v>4203</v>
      </c>
      <c r="B4208" s="3" t="str">
        <f>"00374981"</f>
        <v>00374981</v>
      </c>
    </row>
    <row r="4209" spans="1:2" x14ac:dyDescent="0.25">
      <c r="A4209" s="4">
        <v>4204</v>
      </c>
      <c r="B4209" s="3" t="str">
        <f>"00374988"</f>
        <v>00374988</v>
      </c>
    </row>
    <row r="4210" spans="1:2" x14ac:dyDescent="0.25">
      <c r="A4210" s="4">
        <v>4205</v>
      </c>
      <c r="B4210" s="3" t="str">
        <f>"00375003"</f>
        <v>00375003</v>
      </c>
    </row>
    <row r="4211" spans="1:2" x14ac:dyDescent="0.25">
      <c r="A4211" s="4">
        <v>4206</v>
      </c>
      <c r="B4211" s="3" t="str">
        <f>"00375022"</f>
        <v>00375022</v>
      </c>
    </row>
    <row r="4212" spans="1:2" x14ac:dyDescent="0.25">
      <c r="A4212" s="4">
        <v>4207</v>
      </c>
      <c r="B4212" s="3" t="str">
        <f>"00375041"</f>
        <v>00375041</v>
      </c>
    </row>
    <row r="4213" spans="1:2" x14ac:dyDescent="0.25">
      <c r="A4213" s="4">
        <v>4208</v>
      </c>
      <c r="B4213" s="3" t="str">
        <f>"00375071"</f>
        <v>00375071</v>
      </c>
    </row>
    <row r="4214" spans="1:2" x14ac:dyDescent="0.25">
      <c r="A4214" s="4">
        <v>4209</v>
      </c>
      <c r="B4214" s="3" t="str">
        <f>"00375177"</f>
        <v>00375177</v>
      </c>
    </row>
    <row r="4215" spans="1:2" x14ac:dyDescent="0.25">
      <c r="A4215" s="4">
        <v>4210</v>
      </c>
      <c r="B4215" s="3" t="str">
        <f>"00375199"</f>
        <v>00375199</v>
      </c>
    </row>
    <row r="4216" spans="1:2" x14ac:dyDescent="0.25">
      <c r="A4216" s="4">
        <v>4211</v>
      </c>
      <c r="B4216" s="3" t="str">
        <f>"00375367"</f>
        <v>00375367</v>
      </c>
    </row>
    <row r="4217" spans="1:2" x14ac:dyDescent="0.25">
      <c r="A4217" s="4">
        <v>4212</v>
      </c>
      <c r="B4217" s="3" t="str">
        <f>"00375393"</f>
        <v>00375393</v>
      </c>
    </row>
    <row r="4218" spans="1:2" x14ac:dyDescent="0.25">
      <c r="A4218" s="4">
        <v>4213</v>
      </c>
      <c r="B4218" s="3" t="str">
        <f>"00375397"</f>
        <v>00375397</v>
      </c>
    </row>
    <row r="4219" spans="1:2" x14ac:dyDescent="0.25">
      <c r="A4219" s="4">
        <v>4214</v>
      </c>
      <c r="B4219" s="3" t="str">
        <f>"00375414"</f>
        <v>00375414</v>
      </c>
    </row>
    <row r="4220" spans="1:2" x14ac:dyDescent="0.25">
      <c r="A4220" s="4">
        <v>4215</v>
      </c>
      <c r="B4220" s="3" t="str">
        <f>"00375419"</f>
        <v>00375419</v>
      </c>
    </row>
    <row r="4221" spans="1:2" x14ac:dyDescent="0.25">
      <c r="A4221" s="4">
        <v>4216</v>
      </c>
      <c r="B4221" s="3" t="str">
        <f>"00375427"</f>
        <v>00375427</v>
      </c>
    </row>
    <row r="4222" spans="1:2" x14ac:dyDescent="0.25">
      <c r="A4222" s="4">
        <v>4217</v>
      </c>
      <c r="B4222" s="3" t="str">
        <f>"00375441"</f>
        <v>00375441</v>
      </c>
    </row>
    <row r="4223" spans="1:2" x14ac:dyDescent="0.25">
      <c r="A4223" s="4">
        <v>4218</v>
      </c>
      <c r="B4223" s="3" t="str">
        <f>"00375472"</f>
        <v>00375472</v>
      </c>
    </row>
    <row r="4224" spans="1:2" x14ac:dyDescent="0.25">
      <c r="A4224" s="4">
        <v>4219</v>
      </c>
      <c r="B4224" s="3" t="str">
        <f>"00375482"</f>
        <v>00375482</v>
      </c>
    </row>
    <row r="4225" spans="1:2" x14ac:dyDescent="0.25">
      <c r="A4225" s="4">
        <v>4220</v>
      </c>
      <c r="B4225" s="3" t="str">
        <f>"00375507"</f>
        <v>00375507</v>
      </c>
    </row>
    <row r="4226" spans="1:2" x14ac:dyDescent="0.25">
      <c r="A4226" s="4">
        <v>4221</v>
      </c>
      <c r="B4226" s="3" t="str">
        <f>"00375525"</f>
        <v>00375525</v>
      </c>
    </row>
    <row r="4227" spans="1:2" x14ac:dyDescent="0.25">
      <c r="A4227" s="4">
        <v>4222</v>
      </c>
      <c r="B4227" s="3" t="str">
        <f>"00375561"</f>
        <v>00375561</v>
      </c>
    </row>
    <row r="4228" spans="1:2" x14ac:dyDescent="0.25">
      <c r="A4228" s="4">
        <v>4223</v>
      </c>
      <c r="B4228" s="3" t="str">
        <f>"00375572"</f>
        <v>00375572</v>
      </c>
    </row>
    <row r="4229" spans="1:2" x14ac:dyDescent="0.25">
      <c r="A4229" s="4">
        <v>4224</v>
      </c>
      <c r="B4229" s="3" t="str">
        <f>"00375579"</f>
        <v>00375579</v>
      </c>
    </row>
    <row r="4230" spans="1:2" x14ac:dyDescent="0.25">
      <c r="A4230" s="4">
        <v>4225</v>
      </c>
      <c r="B4230" s="3" t="str">
        <f>"00375605"</f>
        <v>00375605</v>
      </c>
    </row>
    <row r="4231" spans="1:2" x14ac:dyDescent="0.25">
      <c r="A4231" s="4">
        <v>4226</v>
      </c>
      <c r="B4231" s="3" t="str">
        <f>"00375675"</f>
        <v>00375675</v>
      </c>
    </row>
    <row r="4232" spans="1:2" x14ac:dyDescent="0.25">
      <c r="A4232" s="4">
        <v>4227</v>
      </c>
      <c r="B4232" s="3" t="str">
        <f>"00375690"</f>
        <v>00375690</v>
      </c>
    </row>
    <row r="4233" spans="1:2" x14ac:dyDescent="0.25">
      <c r="A4233" s="4">
        <v>4228</v>
      </c>
      <c r="B4233" s="3" t="str">
        <f>"00375691"</f>
        <v>00375691</v>
      </c>
    </row>
    <row r="4234" spans="1:2" x14ac:dyDescent="0.25">
      <c r="A4234" s="4">
        <v>4229</v>
      </c>
      <c r="B4234" s="3" t="str">
        <f>"00375749"</f>
        <v>00375749</v>
      </c>
    </row>
    <row r="4235" spans="1:2" x14ac:dyDescent="0.25">
      <c r="A4235" s="4">
        <v>4230</v>
      </c>
      <c r="B4235" s="3" t="str">
        <f>"00375756"</f>
        <v>00375756</v>
      </c>
    </row>
    <row r="4236" spans="1:2" x14ac:dyDescent="0.25">
      <c r="A4236" s="4">
        <v>4231</v>
      </c>
      <c r="B4236" s="3" t="str">
        <f>"00375759"</f>
        <v>00375759</v>
      </c>
    </row>
    <row r="4237" spans="1:2" x14ac:dyDescent="0.25">
      <c r="A4237" s="4">
        <v>4232</v>
      </c>
      <c r="B4237" s="3" t="str">
        <f>"00375875"</f>
        <v>00375875</v>
      </c>
    </row>
    <row r="4238" spans="1:2" x14ac:dyDescent="0.25">
      <c r="A4238" s="4">
        <v>4233</v>
      </c>
      <c r="B4238" s="3" t="str">
        <f>"00375894"</f>
        <v>00375894</v>
      </c>
    </row>
    <row r="4239" spans="1:2" x14ac:dyDescent="0.25">
      <c r="A4239" s="4">
        <v>4234</v>
      </c>
      <c r="B4239" s="3" t="str">
        <f>"00375926"</f>
        <v>00375926</v>
      </c>
    </row>
    <row r="4240" spans="1:2" x14ac:dyDescent="0.25">
      <c r="A4240" s="4">
        <v>4235</v>
      </c>
      <c r="B4240" s="3" t="str">
        <f>"00375981"</f>
        <v>00375981</v>
      </c>
    </row>
    <row r="4241" spans="1:2" x14ac:dyDescent="0.25">
      <c r="A4241" s="4">
        <v>4236</v>
      </c>
      <c r="B4241" s="3" t="str">
        <f>"00376020"</f>
        <v>00376020</v>
      </c>
    </row>
    <row r="4242" spans="1:2" x14ac:dyDescent="0.25">
      <c r="A4242" s="4">
        <v>4237</v>
      </c>
      <c r="B4242" s="3" t="str">
        <f>"00376093"</f>
        <v>00376093</v>
      </c>
    </row>
    <row r="4243" spans="1:2" x14ac:dyDescent="0.25">
      <c r="A4243" s="4">
        <v>4238</v>
      </c>
      <c r="B4243" s="3" t="str">
        <f>"00376118"</f>
        <v>00376118</v>
      </c>
    </row>
    <row r="4244" spans="1:2" x14ac:dyDescent="0.25">
      <c r="A4244" s="4">
        <v>4239</v>
      </c>
      <c r="B4244" s="3" t="str">
        <f>"00376151"</f>
        <v>00376151</v>
      </c>
    </row>
    <row r="4245" spans="1:2" x14ac:dyDescent="0.25">
      <c r="A4245" s="4">
        <v>4240</v>
      </c>
      <c r="B4245" s="3" t="str">
        <f>"00376245"</f>
        <v>00376245</v>
      </c>
    </row>
    <row r="4246" spans="1:2" x14ac:dyDescent="0.25">
      <c r="A4246" s="4">
        <v>4241</v>
      </c>
      <c r="B4246" s="3" t="str">
        <f>"00376354"</f>
        <v>00376354</v>
      </c>
    </row>
    <row r="4247" spans="1:2" x14ac:dyDescent="0.25">
      <c r="A4247" s="4">
        <v>4242</v>
      </c>
      <c r="B4247" s="3" t="str">
        <f>"00376409"</f>
        <v>00376409</v>
      </c>
    </row>
    <row r="4248" spans="1:2" x14ac:dyDescent="0.25">
      <c r="A4248" s="4">
        <v>4243</v>
      </c>
      <c r="B4248" s="3" t="str">
        <f>"00376410"</f>
        <v>00376410</v>
      </c>
    </row>
    <row r="4249" spans="1:2" x14ac:dyDescent="0.25">
      <c r="A4249" s="4">
        <v>4244</v>
      </c>
      <c r="B4249" s="3" t="str">
        <f>"00376534"</f>
        <v>00376534</v>
      </c>
    </row>
    <row r="4250" spans="1:2" x14ac:dyDescent="0.25">
      <c r="A4250" s="4">
        <v>4245</v>
      </c>
      <c r="B4250" s="3" t="str">
        <f>"00376550"</f>
        <v>00376550</v>
      </c>
    </row>
    <row r="4251" spans="1:2" x14ac:dyDescent="0.25">
      <c r="A4251" s="4">
        <v>4246</v>
      </c>
      <c r="B4251" s="3" t="str">
        <f>"00376569"</f>
        <v>00376569</v>
      </c>
    </row>
    <row r="4252" spans="1:2" x14ac:dyDescent="0.25">
      <c r="A4252" s="4">
        <v>4247</v>
      </c>
      <c r="B4252" s="3" t="str">
        <f>"00376577"</f>
        <v>00376577</v>
      </c>
    </row>
    <row r="4253" spans="1:2" x14ac:dyDescent="0.25">
      <c r="A4253" s="4">
        <v>4248</v>
      </c>
      <c r="B4253" s="3" t="str">
        <f>"00376579"</f>
        <v>00376579</v>
      </c>
    </row>
    <row r="4254" spans="1:2" x14ac:dyDescent="0.25">
      <c r="A4254" s="4">
        <v>4249</v>
      </c>
      <c r="B4254" s="3" t="str">
        <f>"00376588"</f>
        <v>00376588</v>
      </c>
    </row>
    <row r="4255" spans="1:2" x14ac:dyDescent="0.25">
      <c r="A4255" s="4">
        <v>4250</v>
      </c>
      <c r="B4255" s="3" t="str">
        <f>"00376668"</f>
        <v>00376668</v>
      </c>
    </row>
    <row r="4256" spans="1:2" x14ac:dyDescent="0.25">
      <c r="A4256" s="4">
        <v>4251</v>
      </c>
      <c r="B4256" s="3" t="str">
        <f>"00376697"</f>
        <v>00376697</v>
      </c>
    </row>
    <row r="4257" spans="1:2" x14ac:dyDescent="0.25">
      <c r="A4257" s="4">
        <v>4252</v>
      </c>
      <c r="B4257" s="3" t="str">
        <f>"00376706"</f>
        <v>00376706</v>
      </c>
    </row>
    <row r="4258" spans="1:2" x14ac:dyDescent="0.25">
      <c r="A4258" s="4">
        <v>4253</v>
      </c>
      <c r="B4258" s="3" t="str">
        <f>"00376941"</f>
        <v>00376941</v>
      </c>
    </row>
    <row r="4259" spans="1:2" x14ac:dyDescent="0.25">
      <c r="A4259" s="4">
        <v>4254</v>
      </c>
      <c r="B4259" s="3" t="str">
        <f>"00376984"</f>
        <v>00376984</v>
      </c>
    </row>
    <row r="4260" spans="1:2" x14ac:dyDescent="0.25">
      <c r="A4260" s="4">
        <v>4255</v>
      </c>
      <c r="B4260" s="3" t="str">
        <f>"00377076"</f>
        <v>00377076</v>
      </c>
    </row>
    <row r="4261" spans="1:2" x14ac:dyDescent="0.25">
      <c r="A4261" s="4">
        <v>4256</v>
      </c>
      <c r="B4261" s="3" t="str">
        <f>"00377163"</f>
        <v>00377163</v>
      </c>
    </row>
    <row r="4262" spans="1:2" x14ac:dyDescent="0.25">
      <c r="A4262" s="4">
        <v>4257</v>
      </c>
      <c r="B4262" s="3" t="str">
        <f>"00377214"</f>
        <v>00377214</v>
      </c>
    </row>
    <row r="4263" spans="1:2" x14ac:dyDescent="0.25">
      <c r="A4263" s="4">
        <v>4258</v>
      </c>
      <c r="B4263" s="3" t="str">
        <f>"00377272"</f>
        <v>00377272</v>
      </c>
    </row>
    <row r="4264" spans="1:2" x14ac:dyDescent="0.25">
      <c r="A4264" s="4">
        <v>4259</v>
      </c>
      <c r="B4264" s="3" t="str">
        <f>"00377284"</f>
        <v>00377284</v>
      </c>
    </row>
    <row r="4265" spans="1:2" x14ac:dyDescent="0.25">
      <c r="A4265" s="4">
        <v>4260</v>
      </c>
      <c r="B4265" s="3" t="str">
        <f>"00377294"</f>
        <v>00377294</v>
      </c>
    </row>
    <row r="4266" spans="1:2" x14ac:dyDescent="0.25">
      <c r="A4266" s="4">
        <v>4261</v>
      </c>
      <c r="B4266" s="3" t="str">
        <f>"00377399"</f>
        <v>00377399</v>
      </c>
    </row>
    <row r="4267" spans="1:2" x14ac:dyDescent="0.25">
      <c r="A4267" s="4">
        <v>4262</v>
      </c>
      <c r="B4267" s="3" t="str">
        <f>"00377424"</f>
        <v>00377424</v>
      </c>
    </row>
    <row r="4268" spans="1:2" x14ac:dyDescent="0.25">
      <c r="A4268" s="4">
        <v>4263</v>
      </c>
      <c r="B4268" s="3" t="str">
        <f>"00377428"</f>
        <v>00377428</v>
      </c>
    </row>
    <row r="4269" spans="1:2" x14ac:dyDescent="0.25">
      <c r="A4269" s="4">
        <v>4264</v>
      </c>
      <c r="B4269" s="3" t="str">
        <f>"00377529"</f>
        <v>00377529</v>
      </c>
    </row>
    <row r="4270" spans="1:2" x14ac:dyDescent="0.25">
      <c r="A4270" s="4">
        <v>4265</v>
      </c>
      <c r="B4270" s="3" t="str">
        <f>"00377530"</f>
        <v>00377530</v>
      </c>
    </row>
    <row r="4271" spans="1:2" x14ac:dyDescent="0.25">
      <c r="A4271" s="4">
        <v>4266</v>
      </c>
      <c r="B4271" s="3" t="str">
        <f>"00377535"</f>
        <v>00377535</v>
      </c>
    </row>
    <row r="4272" spans="1:2" x14ac:dyDescent="0.25">
      <c r="A4272" s="4">
        <v>4267</v>
      </c>
      <c r="B4272" s="3" t="str">
        <f>"00377545"</f>
        <v>00377545</v>
      </c>
    </row>
    <row r="4273" spans="1:2" x14ac:dyDescent="0.25">
      <c r="A4273" s="4">
        <v>4268</v>
      </c>
      <c r="B4273" s="3" t="str">
        <f>"00377557"</f>
        <v>00377557</v>
      </c>
    </row>
    <row r="4274" spans="1:2" x14ac:dyDescent="0.25">
      <c r="A4274" s="4">
        <v>4269</v>
      </c>
      <c r="B4274" s="3" t="str">
        <f>"00377561"</f>
        <v>00377561</v>
      </c>
    </row>
    <row r="4275" spans="1:2" x14ac:dyDescent="0.25">
      <c r="A4275" s="4">
        <v>4270</v>
      </c>
      <c r="B4275" s="3" t="str">
        <f>"00377567"</f>
        <v>00377567</v>
      </c>
    </row>
    <row r="4276" spans="1:2" x14ac:dyDescent="0.25">
      <c r="A4276" s="4">
        <v>4271</v>
      </c>
      <c r="B4276" s="3" t="str">
        <f>"00377586"</f>
        <v>00377586</v>
      </c>
    </row>
    <row r="4277" spans="1:2" x14ac:dyDescent="0.25">
      <c r="A4277" s="4">
        <v>4272</v>
      </c>
      <c r="B4277" s="3" t="str">
        <f>"00377653"</f>
        <v>00377653</v>
      </c>
    </row>
    <row r="4278" spans="1:2" x14ac:dyDescent="0.25">
      <c r="A4278" s="4">
        <v>4273</v>
      </c>
      <c r="B4278" s="3" t="str">
        <f>"00377670"</f>
        <v>00377670</v>
      </c>
    </row>
    <row r="4279" spans="1:2" x14ac:dyDescent="0.25">
      <c r="A4279" s="4">
        <v>4274</v>
      </c>
      <c r="B4279" s="3" t="str">
        <f>"00377672"</f>
        <v>00377672</v>
      </c>
    </row>
    <row r="4280" spans="1:2" x14ac:dyDescent="0.25">
      <c r="A4280" s="4">
        <v>4275</v>
      </c>
      <c r="B4280" s="3" t="str">
        <f>"00377762"</f>
        <v>00377762</v>
      </c>
    </row>
    <row r="4281" spans="1:2" x14ac:dyDescent="0.25">
      <c r="A4281" s="4">
        <v>4276</v>
      </c>
      <c r="B4281" s="3" t="str">
        <f>"00377792"</f>
        <v>00377792</v>
      </c>
    </row>
    <row r="4282" spans="1:2" x14ac:dyDescent="0.25">
      <c r="A4282" s="4">
        <v>4277</v>
      </c>
      <c r="B4282" s="3" t="str">
        <f>"00377821"</f>
        <v>00377821</v>
      </c>
    </row>
    <row r="4283" spans="1:2" x14ac:dyDescent="0.25">
      <c r="A4283" s="4">
        <v>4278</v>
      </c>
      <c r="B4283" s="3" t="str">
        <f>"00377878"</f>
        <v>00377878</v>
      </c>
    </row>
    <row r="4284" spans="1:2" x14ac:dyDescent="0.25">
      <c r="A4284" s="4">
        <v>4279</v>
      </c>
      <c r="B4284" s="3" t="str">
        <f>"00377890"</f>
        <v>00377890</v>
      </c>
    </row>
    <row r="4285" spans="1:2" x14ac:dyDescent="0.25">
      <c r="A4285" s="4">
        <v>4280</v>
      </c>
      <c r="B4285" s="3" t="str">
        <f>"00377933"</f>
        <v>00377933</v>
      </c>
    </row>
    <row r="4286" spans="1:2" x14ac:dyDescent="0.25">
      <c r="A4286" s="4">
        <v>4281</v>
      </c>
      <c r="B4286" s="3" t="str">
        <f>"00377969"</f>
        <v>00377969</v>
      </c>
    </row>
    <row r="4287" spans="1:2" x14ac:dyDescent="0.25">
      <c r="A4287" s="4">
        <v>4282</v>
      </c>
      <c r="B4287" s="3" t="str">
        <f>"00377990"</f>
        <v>00377990</v>
      </c>
    </row>
    <row r="4288" spans="1:2" x14ac:dyDescent="0.25">
      <c r="A4288" s="4">
        <v>4283</v>
      </c>
      <c r="B4288" s="3" t="str">
        <f>"00377998"</f>
        <v>00377998</v>
      </c>
    </row>
    <row r="4289" spans="1:2" x14ac:dyDescent="0.25">
      <c r="A4289" s="4">
        <v>4284</v>
      </c>
      <c r="B4289" s="3" t="str">
        <f>"00378124"</f>
        <v>00378124</v>
      </c>
    </row>
    <row r="4290" spans="1:2" x14ac:dyDescent="0.25">
      <c r="A4290" s="4">
        <v>4285</v>
      </c>
      <c r="B4290" s="3" t="str">
        <f>"00378139"</f>
        <v>00378139</v>
      </c>
    </row>
    <row r="4291" spans="1:2" x14ac:dyDescent="0.25">
      <c r="A4291" s="4">
        <v>4286</v>
      </c>
      <c r="B4291" s="3" t="str">
        <f>"00378158"</f>
        <v>00378158</v>
      </c>
    </row>
    <row r="4292" spans="1:2" x14ac:dyDescent="0.25">
      <c r="A4292" s="4">
        <v>4287</v>
      </c>
      <c r="B4292" s="3" t="str">
        <f>"00378161"</f>
        <v>00378161</v>
      </c>
    </row>
    <row r="4293" spans="1:2" x14ac:dyDescent="0.25">
      <c r="A4293" s="4">
        <v>4288</v>
      </c>
      <c r="B4293" s="3" t="str">
        <f>"00378239"</f>
        <v>00378239</v>
      </c>
    </row>
    <row r="4294" spans="1:2" x14ac:dyDescent="0.25">
      <c r="A4294" s="4">
        <v>4289</v>
      </c>
      <c r="B4294" s="3" t="str">
        <f>"00378261"</f>
        <v>00378261</v>
      </c>
    </row>
    <row r="4295" spans="1:2" x14ac:dyDescent="0.25">
      <c r="A4295" s="4">
        <v>4290</v>
      </c>
      <c r="B4295" s="3" t="str">
        <f>"00378519"</f>
        <v>00378519</v>
      </c>
    </row>
    <row r="4296" spans="1:2" x14ac:dyDescent="0.25">
      <c r="A4296" s="4">
        <v>4291</v>
      </c>
      <c r="B4296" s="3" t="str">
        <f>"00378520"</f>
        <v>00378520</v>
      </c>
    </row>
    <row r="4297" spans="1:2" x14ac:dyDescent="0.25">
      <c r="A4297" s="4">
        <v>4292</v>
      </c>
      <c r="B4297" s="3" t="str">
        <f>"00378537"</f>
        <v>00378537</v>
      </c>
    </row>
    <row r="4298" spans="1:2" x14ac:dyDescent="0.25">
      <c r="A4298" s="4">
        <v>4293</v>
      </c>
      <c r="B4298" s="3" t="str">
        <f>"00378554"</f>
        <v>00378554</v>
      </c>
    </row>
    <row r="4299" spans="1:2" x14ac:dyDescent="0.25">
      <c r="A4299" s="4">
        <v>4294</v>
      </c>
      <c r="B4299" s="3" t="str">
        <f>"00378556"</f>
        <v>00378556</v>
      </c>
    </row>
    <row r="4300" spans="1:2" x14ac:dyDescent="0.25">
      <c r="A4300" s="4">
        <v>4295</v>
      </c>
      <c r="B4300" s="3" t="str">
        <f>"00378560"</f>
        <v>00378560</v>
      </c>
    </row>
    <row r="4301" spans="1:2" x14ac:dyDescent="0.25">
      <c r="A4301" s="4">
        <v>4296</v>
      </c>
      <c r="B4301" s="3" t="str">
        <f>"00378639"</f>
        <v>00378639</v>
      </c>
    </row>
    <row r="4302" spans="1:2" x14ac:dyDescent="0.25">
      <c r="A4302" s="4">
        <v>4297</v>
      </c>
      <c r="B4302" s="3" t="str">
        <f>"00378642"</f>
        <v>00378642</v>
      </c>
    </row>
    <row r="4303" spans="1:2" x14ac:dyDescent="0.25">
      <c r="A4303" s="4">
        <v>4298</v>
      </c>
      <c r="B4303" s="3" t="str">
        <f>"00378643"</f>
        <v>00378643</v>
      </c>
    </row>
    <row r="4304" spans="1:2" x14ac:dyDescent="0.25">
      <c r="A4304" s="4">
        <v>4299</v>
      </c>
      <c r="B4304" s="3" t="str">
        <f>"00378675"</f>
        <v>00378675</v>
      </c>
    </row>
    <row r="4305" spans="1:2" x14ac:dyDescent="0.25">
      <c r="A4305" s="4">
        <v>4300</v>
      </c>
      <c r="B4305" s="3" t="str">
        <f>"00378687"</f>
        <v>00378687</v>
      </c>
    </row>
    <row r="4306" spans="1:2" x14ac:dyDescent="0.25">
      <c r="A4306" s="4">
        <v>4301</v>
      </c>
      <c r="B4306" s="3" t="str">
        <f>"00378730"</f>
        <v>00378730</v>
      </c>
    </row>
    <row r="4307" spans="1:2" x14ac:dyDescent="0.25">
      <c r="A4307" s="4">
        <v>4302</v>
      </c>
      <c r="B4307" s="3" t="str">
        <f>"00378749"</f>
        <v>00378749</v>
      </c>
    </row>
    <row r="4308" spans="1:2" x14ac:dyDescent="0.25">
      <c r="A4308" s="4">
        <v>4303</v>
      </c>
      <c r="B4308" s="3" t="str">
        <f>"00378751"</f>
        <v>00378751</v>
      </c>
    </row>
    <row r="4309" spans="1:2" x14ac:dyDescent="0.25">
      <c r="A4309" s="4">
        <v>4304</v>
      </c>
      <c r="B4309" s="3" t="str">
        <f>"00378792"</f>
        <v>00378792</v>
      </c>
    </row>
    <row r="4310" spans="1:2" x14ac:dyDescent="0.25">
      <c r="A4310" s="4">
        <v>4305</v>
      </c>
      <c r="B4310" s="3" t="str">
        <f>"00378866"</f>
        <v>00378866</v>
      </c>
    </row>
    <row r="4311" spans="1:2" x14ac:dyDescent="0.25">
      <c r="A4311" s="4">
        <v>4306</v>
      </c>
      <c r="B4311" s="3" t="str">
        <f>"00378900"</f>
        <v>00378900</v>
      </c>
    </row>
    <row r="4312" spans="1:2" x14ac:dyDescent="0.25">
      <c r="A4312" s="4">
        <v>4307</v>
      </c>
      <c r="B4312" s="3" t="str">
        <f>"00378932"</f>
        <v>00378932</v>
      </c>
    </row>
    <row r="4313" spans="1:2" x14ac:dyDescent="0.25">
      <c r="A4313" s="4">
        <v>4308</v>
      </c>
      <c r="B4313" s="3" t="str">
        <f>"00379001"</f>
        <v>00379001</v>
      </c>
    </row>
    <row r="4314" spans="1:2" x14ac:dyDescent="0.25">
      <c r="A4314" s="4">
        <v>4309</v>
      </c>
      <c r="B4314" s="3" t="str">
        <f>"00379007"</f>
        <v>00379007</v>
      </c>
    </row>
    <row r="4315" spans="1:2" x14ac:dyDescent="0.25">
      <c r="A4315" s="4">
        <v>4310</v>
      </c>
      <c r="B4315" s="3" t="str">
        <f>"00379025"</f>
        <v>00379025</v>
      </c>
    </row>
    <row r="4316" spans="1:2" x14ac:dyDescent="0.25">
      <c r="A4316" s="4">
        <v>4311</v>
      </c>
      <c r="B4316" s="3" t="str">
        <f>"00379048"</f>
        <v>00379048</v>
      </c>
    </row>
    <row r="4317" spans="1:2" x14ac:dyDescent="0.25">
      <c r="A4317" s="4">
        <v>4312</v>
      </c>
      <c r="B4317" s="3" t="str">
        <f>"00379058"</f>
        <v>00379058</v>
      </c>
    </row>
    <row r="4318" spans="1:2" x14ac:dyDescent="0.25">
      <c r="A4318" s="4">
        <v>4313</v>
      </c>
      <c r="B4318" s="3" t="str">
        <f>"00379175"</f>
        <v>00379175</v>
      </c>
    </row>
    <row r="4319" spans="1:2" x14ac:dyDescent="0.25">
      <c r="A4319" s="4">
        <v>4314</v>
      </c>
      <c r="B4319" s="3" t="str">
        <f>"00379179"</f>
        <v>00379179</v>
      </c>
    </row>
    <row r="4320" spans="1:2" x14ac:dyDescent="0.25">
      <c r="A4320" s="4">
        <v>4315</v>
      </c>
      <c r="B4320" s="3" t="str">
        <f>"00379238"</f>
        <v>00379238</v>
      </c>
    </row>
    <row r="4321" spans="1:2" x14ac:dyDescent="0.25">
      <c r="A4321" s="4">
        <v>4316</v>
      </c>
      <c r="B4321" s="3" t="str">
        <f>"00379254"</f>
        <v>00379254</v>
      </c>
    </row>
    <row r="4322" spans="1:2" x14ac:dyDescent="0.25">
      <c r="A4322" s="4">
        <v>4317</v>
      </c>
      <c r="B4322" s="3" t="str">
        <f>"00379303"</f>
        <v>00379303</v>
      </c>
    </row>
    <row r="4323" spans="1:2" x14ac:dyDescent="0.25">
      <c r="A4323" s="4">
        <v>4318</v>
      </c>
      <c r="B4323" s="3" t="str">
        <f>"00379306"</f>
        <v>00379306</v>
      </c>
    </row>
    <row r="4324" spans="1:2" x14ac:dyDescent="0.25">
      <c r="A4324" s="4">
        <v>4319</v>
      </c>
      <c r="B4324" s="3" t="str">
        <f>"00379310"</f>
        <v>00379310</v>
      </c>
    </row>
    <row r="4325" spans="1:2" x14ac:dyDescent="0.25">
      <c r="A4325" s="4">
        <v>4320</v>
      </c>
      <c r="B4325" s="3" t="str">
        <f>"00379356"</f>
        <v>00379356</v>
      </c>
    </row>
    <row r="4326" spans="1:2" x14ac:dyDescent="0.25">
      <c r="A4326" s="4">
        <v>4321</v>
      </c>
      <c r="B4326" s="3" t="str">
        <f>"00379400"</f>
        <v>00379400</v>
      </c>
    </row>
    <row r="4327" spans="1:2" x14ac:dyDescent="0.25">
      <c r="A4327" s="4">
        <v>4322</v>
      </c>
      <c r="B4327" s="3" t="str">
        <f>"00379536"</f>
        <v>00379536</v>
      </c>
    </row>
    <row r="4328" spans="1:2" x14ac:dyDescent="0.25">
      <c r="A4328" s="4">
        <v>4323</v>
      </c>
      <c r="B4328" s="3" t="str">
        <f>"00379578"</f>
        <v>00379578</v>
      </c>
    </row>
    <row r="4329" spans="1:2" x14ac:dyDescent="0.25">
      <c r="A4329" s="4">
        <v>4324</v>
      </c>
      <c r="B4329" s="3" t="str">
        <f>"00379699"</f>
        <v>00379699</v>
      </c>
    </row>
    <row r="4330" spans="1:2" x14ac:dyDescent="0.25">
      <c r="A4330" s="4">
        <v>4325</v>
      </c>
      <c r="B4330" s="3" t="str">
        <f>"00379745"</f>
        <v>00379745</v>
      </c>
    </row>
    <row r="4331" spans="1:2" x14ac:dyDescent="0.25">
      <c r="A4331" s="4">
        <v>4326</v>
      </c>
      <c r="B4331" s="3" t="str">
        <f>"00379935"</f>
        <v>00379935</v>
      </c>
    </row>
    <row r="4332" spans="1:2" x14ac:dyDescent="0.25">
      <c r="A4332" s="4">
        <v>4327</v>
      </c>
      <c r="B4332" s="3" t="str">
        <f>"00380084"</f>
        <v>00380084</v>
      </c>
    </row>
    <row r="4333" spans="1:2" x14ac:dyDescent="0.25">
      <c r="A4333" s="4">
        <v>4328</v>
      </c>
      <c r="B4333" s="3" t="str">
        <f>"00380092"</f>
        <v>00380092</v>
      </c>
    </row>
    <row r="4334" spans="1:2" x14ac:dyDescent="0.25">
      <c r="A4334" s="4">
        <v>4329</v>
      </c>
      <c r="B4334" s="3" t="str">
        <f>"00380104"</f>
        <v>00380104</v>
      </c>
    </row>
    <row r="4335" spans="1:2" x14ac:dyDescent="0.25">
      <c r="A4335" s="4">
        <v>4330</v>
      </c>
      <c r="B4335" s="3" t="str">
        <f>"00380109"</f>
        <v>00380109</v>
      </c>
    </row>
    <row r="4336" spans="1:2" x14ac:dyDescent="0.25">
      <c r="A4336" s="4">
        <v>4331</v>
      </c>
      <c r="B4336" s="3" t="str">
        <f>"00380163"</f>
        <v>00380163</v>
      </c>
    </row>
    <row r="4337" spans="1:2" x14ac:dyDescent="0.25">
      <c r="A4337" s="4">
        <v>4332</v>
      </c>
      <c r="B4337" s="3" t="str">
        <f>"00380172"</f>
        <v>00380172</v>
      </c>
    </row>
    <row r="4338" spans="1:2" x14ac:dyDescent="0.25">
      <c r="A4338" s="4">
        <v>4333</v>
      </c>
      <c r="B4338" s="3" t="str">
        <f>"00380202"</f>
        <v>00380202</v>
      </c>
    </row>
    <row r="4339" spans="1:2" x14ac:dyDescent="0.25">
      <c r="A4339" s="4">
        <v>4334</v>
      </c>
      <c r="B4339" s="3" t="str">
        <f>"00380209"</f>
        <v>00380209</v>
      </c>
    </row>
    <row r="4340" spans="1:2" x14ac:dyDescent="0.25">
      <c r="A4340" s="4">
        <v>4335</v>
      </c>
      <c r="B4340" s="3" t="str">
        <f>"00380225"</f>
        <v>00380225</v>
      </c>
    </row>
    <row r="4341" spans="1:2" x14ac:dyDescent="0.25">
      <c r="A4341" s="4">
        <v>4336</v>
      </c>
      <c r="B4341" s="3" t="str">
        <f>"00380230"</f>
        <v>00380230</v>
      </c>
    </row>
    <row r="4342" spans="1:2" x14ac:dyDescent="0.25">
      <c r="A4342" s="4">
        <v>4337</v>
      </c>
      <c r="B4342" s="3" t="str">
        <f>"00380269"</f>
        <v>00380269</v>
      </c>
    </row>
    <row r="4343" spans="1:2" x14ac:dyDescent="0.25">
      <c r="A4343" s="4">
        <v>4338</v>
      </c>
      <c r="B4343" s="3" t="str">
        <f>"00380289"</f>
        <v>00380289</v>
      </c>
    </row>
    <row r="4344" spans="1:2" x14ac:dyDescent="0.25">
      <c r="A4344" s="4">
        <v>4339</v>
      </c>
      <c r="B4344" s="3" t="str">
        <f>"00380329"</f>
        <v>00380329</v>
      </c>
    </row>
    <row r="4345" spans="1:2" x14ac:dyDescent="0.25">
      <c r="A4345" s="4">
        <v>4340</v>
      </c>
      <c r="B4345" s="3" t="str">
        <f>"00380335"</f>
        <v>00380335</v>
      </c>
    </row>
    <row r="4346" spans="1:2" x14ac:dyDescent="0.25">
      <c r="A4346" s="4">
        <v>4341</v>
      </c>
      <c r="B4346" s="3" t="str">
        <f>"00380344"</f>
        <v>00380344</v>
      </c>
    </row>
    <row r="4347" spans="1:2" x14ac:dyDescent="0.25">
      <c r="A4347" s="4">
        <v>4342</v>
      </c>
      <c r="B4347" s="3" t="str">
        <f>"00380350"</f>
        <v>00380350</v>
      </c>
    </row>
    <row r="4348" spans="1:2" x14ac:dyDescent="0.25">
      <c r="A4348" s="4">
        <v>4343</v>
      </c>
      <c r="B4348" s="3" t="str">
        <f>"00380377"</f>
        <v>00380377</v>
      </c>
    </row>
    <row r="4349" spans="1:2" x14ac:dyDescent="0.25">
      <c r="A4349" s="4">
        <v>4344</v>
      </c>
      <c r="B4349" s="3" t="str">
        <f>"00380393"</f>
        <v>00380393</v>
      </c>
    </row>
    <row r="4350" spans="1:2" x14ac:dyDescent="0.25">
      <c r="A4350" s="4">
        <v>4345</v>
      </c>
      <c r="B4350" s="3" t="str">
        <f>"00380536"</f>
        <v>00380536</v>
      </c>
    </row>
    <row r="4351" spans="1:2" x14ac:dyDescent="0.25">
      <c r="A4351" s="4">
        <v>4346</v>
      </c>
      <c r="B4351" s="3" t="str">
        <f>"00380566"</f>
        <v>00380566</v>
      </c>
    </row>
    <row r="4352" spans="1:2" x14ac:dyDescent="0.25">
      <c r="A4352" s="4">
        <v>4347</v>
      </c>
      <c r="B4352" s="3" t="str">
        <f>"00380576"</f>
        <v>00380576</v>
      </c>
    </row>
    <row r="4353" spans="1:2" x14ac:dyDescent="0.25">
      <c r="A4353" s="4">
        <v>4348</v>
      </c>
      <c r="B4353" s="3" t="str">
        <f>"00380637"</f>
        <v>00380637</v>
      </c>
    </row>
    <row r="4354" spans="1:2" x14ac:dyDescent="0.25">
      <c r="A4354" s="4">
        <v>4349</v>
      </c>
      <c r="B4354" s="3" t="str">
        <f>"00380646"</f>
        <v>00380646</v>
      </c>
    </row>
    <row r="4355" spans="1:2" x14ac:dyDescent="0.25">
      <c r="A4355" s="4">
        <v>4350</v>
      </c>
      <c r="B4355" s="3" t="str">
        <f>"00380663"</f>
        <v>00380663</v>
      </c>
    </row>
    <row r="4356" spans="1:2" x14ac:dyDescent="0.25">
      <c r="A4356" s="4">
        <v>4351</v>
      </c>
      <c r="B4356" s="3" t="str">
        <f>"00380692"</f>
        <v>00380692</v>
      </c>
    </row>
    <row r="4357" spans="1:2" x14ac:dyDescent="0.25">
      <c r="A4357" s="4">
        <v>4352</v>
      </c>
      <c r="B4357" s="3" t="str">
        <f>"00380702"</f>
        <v>00380702</v>
      </c>
    </row>
    <row r="4358" spans="1:2" x14ac:dyDescent="0.25">
      <c r="A4358" s="4">
        <v>4353</v>
      </c>
      <c r="B4358" s="3" t="str">
        <f>"00380730"</f>
        <v>00380730</v>
      </c>
    </row>
    <row r="4359" spans="1:2" x14ac:dyDescent="0.25">
      <c r="A4359" s="4">
        <v>4354</v>
      </c>
      <c r="B4359" s="3" t="str">
        <f>"00380754"</f>
        <v>00380754</v>
      </c>
    </row>
    <row r="4360" spans="1:2" x14ac:dyDescent="0.25">
      <c r="A4360" s="4">
        <v>4355</v>
      </c>
      <c r="B4360" s="3" t="str">
        <f>"00380781"</f>
        <v>00380781</v>
      </c>
    </row>
    <row r="4361" spans="1:2" x14ac:dyDescent="0.25">
      <c r="A4361" s="4">
        <v>4356</v>
      </c>
      <c r="B4361" s="3" t="str">
        <f>"00380821"</f>
        <v>00380821</v>
      </c>
    </row>
    <row r="4362" spans="1:2" x14ac:dyDescent="0.25">
      <c r="A4362" s="4">
        <v>4357</v>
      </c>
      <c r="B4362" s="3" t="str">
        <f>"00380884"</f>
        <v>00380884</v>
      </c>
    </row>
    <row r="4363" spans="1:2" x14ac:dyDescent="0.25">
      <c r="A4363" s="4">
        <v>4358</v>
      </c>
      <c r="B4363" s="3" t="str">
        <f>"00380905"</f>
        <v>00380905</v>
      </c>
    </row>
    <row r="4364" spans="1:2" x14ac:dyDescent="0.25">
      <c r="A4364" s="4">
        <v>4359</v>
      </c>
      <c r="B4364" s="3" t="str">
        <f>"00380976"</f>
        <v>00380976</v>
      </c>
    </row>
    <row r="4365" spans="1:2" x14ac:dyDescent="0.25">
      <c r="A4365" s="4">
        <v>4360</v>
      </c>
      <c r="B4365" s="3" t="str">
        <f>"00380994"</f>
        <v>00380994</v>
      </c>
    </row>
    <row r="4366" spans="1:2" x14ac:dyDescent="0.25">
      <c r="A4366" s="4">
        <v>4361</v>
      </c>
      <c r="B4366" s="3" t="str">
        <f>"00381225"</f>
        <v>00381225</v>
      </c>
    </row>
    <row r="4367" spans="1:2" x14ac:dyDescent="0.25">
      <c r="A4367" s="4">
        <v>4362</v>
      </c>
      <c r="B4367" s="3" t="str">
        <f>"00381241"</f>
        <v>00381241</v>
      </c>
    </row>
    <row r="4368" spans="1:2" x14ac:dyDescent="0.25">
      <c r="A4368" s="4">
        <v>4363</v>
      </c>
      <c r="B4368" s="3" t="str">
        <f>"00381260"</f>
        <v>00381260</v>
      </c>
    </row>
    <row r="4369" spans="1:2" x14ac:dyDescent="0.25">
      <c r="A4369" s="4">
        <v>4364</v>
      </c>
      <c r="B4369" s="3" t="str">
        <f>"00381313"</f>
        <v>00381313</v>
      </c>
    </row>
    <row r="4370" spans="1:2" x14ac:dyDescent="0.25">
      <c r="A4370" s="4">
        <v>4365</v>
      </c>
      <c r="B4370" s="3" t="str">
        <f>"00381383"</f>
        <v>00381383</v>
      </c>
    </row>
    <row r="4371" spans="1:2" x14ac:dyDescent="0.25">
      <c r="A4371" s="4">
        <v>4366</v>
      </c>
      <c r="B4371" s="3" t="str">
        <f>"00381546"</f>
        <v>00381546</v>
      </c>
    </row>
    <row r="4372" spans="1:2" x14ac:dyDescent="0.25">
      <c r="A4372" s="4">
        <v>4367</v>
      </c>
      <c r="B4372" s="3" t="str">
        <f>"00381575"</f>
        <v>00381575</v>
      </c>
    </row>
    <row r="4373" spans="1:2" x14ac:dyDescent="0.25">
      <c r="A4373" s="4">
        <v>4368</v>
      </c>
      <c r="B4373" s="3" t="str">
        <f>"00381594"</f>
        <v>00381594</v>
      </c>
    </row>
    <row r="4374" spans="1:2" x14ac:dyDescent="0.25">
      <c r="A4374" s="4">
        <v>4369</v>
      </c>
      <c r="B4374" s="3" t="str">
        <f>"00381604"</f>
        <v>00381604</v>
      </c>
    </row>
    <row r="4375" spans="1:2" x14ac:dyDescent="0.25">
      <c r="A4375" s="4">
        <v>4370</v>
      </c>
      <c r="B4375" s="3" t="str">
        <f>"00381757"</f>
        <v>00381757</v>
      </c>
    </row>
    <row r="4376" spans="1:2" x14ac:dyDescent="0.25">
      <c r="A4376" s="4">
        <v>4371</v>
      </c>
      <c r="B4376" s="3" t="str">
        <f>"00381824"</f>
        <v>00381824</v>
      </c>
    </row>
    <row r="4377" spans="1:2" x14ac:dyDescent="0.25">
      <c r="A4377" s="4">
        <v>4372</v>
      </c>
      <c r="B4377" s="3" t="str">
        <f>"00381855"</f>
        <v>00381855</v>
      </c>
    </row>
    <row r="4378" spans="1:2" x14ac:dyDescent="0.25">
      <c r="A4378" s="4">
        <v>4373</v>
      </c>
      <c r="B4378" s="3" t="str">
        <f>"00381856"</f>
        <v>00381856</v>
      </c>
    </row>
    <row r="4379" spans="1:2" x14ac:dyDescent="0.25">
      <c r="A4379" s="4">
        <v>4374</v>
      </c>
      <c r="B4379" s="3" t="str">
        <f>"00381953"</f>
        <v>00381953</v>
      </c>
    </row>
    <row r="4380" spans="1:2" x14ac:dyDescent="0.25">
      <c r="A4380" s="4">
        <v>4375</v>
      </c>
      <c r="B4380" s="3" t="str">
        <f>"00382018"</f>
        <v>00382018</v>
      </c>
    </row>
    <row r="4381" spans="1:2" x14ac:dyDescent="0.25">
      <c r="A4381" s="4">
        <v>4376</v>
      </c>
      <c r="B4381" s="3" t="str">
        <f>"00382025"</f>
        <v>00382025</v>
      </c>
    </row>
    <row r="4382" spans="1:2" x14ac:dyDescent="0.25">
      <c r="A4382" s="4">
        <v>4377</v>
      </c>
      <c r="B4382" s="3" t="str">
        <f>"00382079"</f>
        <v>00382079</v>
      </c>
    </row>
    <row r="4383" spans="1:2" x14ac:dyDescent="0.25">
      <c r="A4383" s="4">
        <v>4378</v>
      </c>
      <c r="B4383" s="3" t="str">
        <f>"00382103"</f>
        <v>00382103</v>
      </c>
    </row>
    <row r="4384" spans="1:2" x14ac:dyDescent="0.25">
      <c r="A4384" s="4">
        <v>4379</v>
      </c>
      <c r="B4384" s="3" t="str">
        <f>"00382117"</f>
        <v>00382117</v>
      </c>
    </row>
    <row r="4385" spans="1:2" x14ac:dyDescent="0.25">
      <c r="A4385" s="4">
        <v>4380</v>
      </c>
      <c r="B4385" s="3" t="str">
        <f>"00382142"</f>
        <v>00382142</v>
      </c>
    </row>
    <row r="4386" spans="1:2" x14ac:dyDescent="0.25">
      <c r="A4386" s="4">
        <v>4381</v>
      </c>
      <c r="B4386" s="3" t="str">
        <f>"00382166"</f>
        <v>00382166</v>
      </c>
    </row>
    <row r="4387" spans="1:2" x14ac:dyDescent="0.25">
      <c r="A4387" s="4">
        <v>4382</v>
      </c>
      <c r="B4387" s="3" t="str">
        <f>"00382188"</f>
        <v>00382188</v>
      </c>
    </row>
    <row r="4388" spans="1:2" x14ac:dyDescent="0.25">
      <c r="A4388" s="4">
        <v>4383</v>
      </c>
      <c r="B4388" s="3" t="str">
        <f>"00382199"</f>
        <v>00382199</v>
      </c>
    </row>
    <row r="4389" spans="1:2" x14ac:dyDescent="0.25">
      <c r="A4389" s="4">
        <v>4384</v>
      </c>
      <c r="B4389" s="3" t="str">
        <f>"00382250"</f>
        <v>00382250</v>
      </c>
    </row>
    <row r="4390" spans="1:2" x14ac:dyDescent="0.25">
      <c r="A4390" s="4">
        <v>4385</v>
      </c>
      <c r="B4390" s="3" t="str">
        <f>"00382271"</f>
        <v>00382271</v>
      </c>
    </row>
    <row r="4391" spans="1:2" x14ac:dyDescent="0.25">
      <c r="A4391" s="4">
        <v>4386</v>
      </c>
      <c r="B4391" s="3" t="str">
        <f>"00382300"</f>
        <v>00382300</v>
      </c>
    </row>
    <row r="4392" spans="1:2" x14ac:dyDescent="0.25">
      <c r="A4392" s="4">
        <v>4387</v>
      </c>
      <c r="B4392" s="3" t="str">
        <f>"00382366"</f>
        <v>00382366</v>
      </c>
    </row>
    <row r="4393" spans="1:2" x14ac:dyDescent="0.25">
      <c r="A4393" s="4">
        <v>4388</v>
      </c>
      <c r="B4393" s="3" t="str">
        <f>"00382399"</f>
        <v>00382399</v>
      </c>
    </row>
    <row r="4394" spans="1:2" x14ac:dyDescent="0.25">
      <c r="A4394" s="4">
        <v>4389</v>
      </c>
      <c r="B4394" s="3" t="str">
        <f>"00382427"</f>
        <v>00382427</v>
      </c>
    </row>
    <row r="4395" spans="1:2" x14ac:dyDescent="0.25">
      <c r="A4395" s="4">
        <v>4390</v>
      </c>
      <c r="B4395" s="3" t="str">
        <f>"00382640"</f>
        <v>00382640</v>
      </c>
    </row>
    <row r="4396" spans="1:2" x14ac:dyDescent="0.25">
      <c r="A4396" s="4">
        <v>4391</v>
      </c>
      <c r="B4396" s="3" t="str">
        <f>"00382656"</f>
        <v>00382656</v>
      </c>
    </row>
    <row r="4397" spans="1:2" x14ac:dyDescent="0.25">
      <c r="A4397" s="4">
        <v>4392</v>
      </c>
      <c r="B4397" s="3" t="str">
        <f>"00382657"</f>
        <v>00382657</v>
      </c>
    </row>
    <row r="4398" spans="1:2" x14ac:dyDescent="0.25">
      <c r="A4398" s="4">
        <v>4393</v>
      </c>
      <c r="B4398" s="3" t="str">
        <f>"00382816"</f>
        <v>00382816</v>
      </c>
    </row>
    <row r="4399" spans="1:2" x14ac:dyDescent="0.25">
      <c r="A4399" s="4">
        <v>4394</v>
      </c>
      <c r="B4399" s="3" t="str">
        <f>"00382874"</f>
        <v>00382874</v>
      </c>
    </row>
    <row r="4400" spans="1:2" x14ac:dyDescent="0.25">
      <c r="A4400" s="4">
        <v>4395</v>
      </c>
      <c r="B4400" s="3" t="str">
        <f>"00382881"</f>
        <v>00382881</v>
      </c>
    </row>
    <row r="4401" spans="1:2" x14ac:dyDescent="0.25">
      <c r="A4401" s="4">
        <v>4396</v>
      </c>
      <c r="B4401" s="3" t="str">
        <f>"00382995"</f>
        <v>00382995</v>
      </c>
    </row>
    <row r="4402" spans="1:2" x14ac:dyDescent="0.25">
      <c r="A4402" s="4">
        <v>4397</v>
      </c>
      <c r="B4402" s="3" t="str">
        <f>"00383038"</f>
        <v>00383038</v>
      </c>
    </row>
    <row r="4403" spans="1:2" x14ac:dyDescent="0.25">
      <c r="A4403" s="4">
        <v>4398</v>
      </c>
      <c r="B4403" s="3" t="str">
        <f>"00383054"</f>
        <v>00383054</v>
      </c>
    </row>
    <row r="4404" spans="1:2" x14ac:dyDescent="0.25">
      <c r="A4404" s="4">
        <v>4399</v>
      </c>
      <c r="B4404" s="3" t="str">
        <f>"00383065"</f>
        <v>00383065</v>
      </c>
    </row>
    <row r="4405" spans="1:2" x14ac:dyDescent="0.25">
      <c r="A4405" s="4">
        <v>4400</v>
      </c>
      <c r="B4405" s="3" t="str">
        <f>"00383076"</f>
        <v>00383076</v>
      </c>
    </row>
    <row r="4406" spans="1:2" x14ac:dyDescent="0.25">
      <c r="A4406" s="4">
        <v>4401</v>
      </c>
      <c r="B4406" s="3" t="str">
        <f>"00383079"</f>
        <v>00383079</v>
      </c>
    </row>
    <row r="4407" spans="1:2" x14ac:dyDescent="0.25">
      <c r="A4407" s="4">
        <v>4402</v>
      </c>
      <c r="B4407" s="3" t="str">
        <f>"00383117"</f>
        <v>00383117</v>
      </c>
    </row>
    <row r="4408" spans="1:2" x14ac:dyDescent="0.25">
      <c r="A4408" s="4">
        <v>4403</v>
      </c>
      <c r="B4408" s="3" t="str">
        <f>"00383162"</f>
        <v>00383162</v>
      </c>
    </row>
    <row r="4409" spans="1:2" x14ac:dyDescent="0.25">
      <c r="A4409" s="4">
        <v>4404</v>
      </c>
      <c r="B4409" s="3" t="str">
        <f>"00383163"</f>
        <v>00383163</v>
      </c>
    </row>
    <row r="4410" spans="1:2" x14ac:dyDescent="0.25">
      <c r="A4410" s="4">
        <v>4405</v>
      </c>
      <c r="B4410" s="3" t="str">
        <f>"00383184"</f>
        <v>00383184</v>
      </c>
    </row>
    <row r="4411" spans="1:2" x14ac:dyDescent="0.25">
      <c r="A4411" s="4">
        <v>4406</v>
      </c>
      <c r="B4411" s="3" t="str">
        <f>"00383204"</f>
        <v>00383204</v>
      </c>
    </row>
    <row r="4412" spans="1:2" x14ac:dyDescent="0.25">
      <c r="A4412" s="4">
        <v>4407</v>
      </c>
      <c r="B4412" s="3" t="str">
        <f>"00383209"</f>
        <v>00383209</v>
      </c>
    </row>
    <row r="4413" spans="1:2" x14ac:dyDescent="0.25">
      <c r="A4413" s="4">
        <v>4408</v>
      </c>
      <c r="B4413" s="3" t="str">
        <f>"00383275"</f>
        <v>00383275</v>
      </c>
    </row>
    <row r="4414" spans="1:2" x14ac:dyDescent="0.25">
      <c r="A4414" s="4">
        <v>4409</v>
      </c>
      <c r="B4414" s="3" t="str">
        <f>"00383321"</f>
        <v>00383321</v>
      </c>
    </row>
    <row r="4415" spans="1:2" x14ac:dyDescent="0.25">
      <c r="A4415" s="4">
        <v>4410</v>
      </c>
      <c r="B4415" s="3" t="str">
        <f>"00383372"</f>
        <v>00383372</v>
      </c>
    </row>
    <row r="4416" spans="1:2" x14ac:dyDescent="0.25">
      <c r="A4416" s="4">
        <v>4411</v>
      </c>
      <c r="B4416" s="3" t="str">
        <f>"00383375"</f>
        <v>00383375</v>
      </c>
    </row>
    <row r="4417" spans="1:2" x14ac:dyDescent="0.25">
      <c r="A4417" s="4">
        <v>4412</v>
      </c>
      <c r="B4417" s="3" t="str">
        <f>"00383394"</f>
        <v>00383394</v>
      </c>
    </row>
    <row r="4418" spans="1:2" x14ac:dyDescent="0.25">
      <c r="A4418" s="4">
        <v>4413</v>
      </c>
      <c r="B4418" s="3" t="str">
        <f>"00383427"</f>
        <v>00383427</v>
      </c>
    </row>
    <row r="4419" spans="1:2" x14ac:dyDescent="0.25">
      <c r="A4419" s="4">
        <v>4414</v>
      </c>
      <c r="B4419" s="3" t="str">
        <f>"00383490"</f>
        <v>00383490</v>
      </c>
    </row>
    <row r="4420" spans="1:2" x14ac:dyDescent="0.25">
      <c r="A4420" s="4">
        <v>4415</v>
      </c>
      <c r="B4420" s="3" t="str">
        <f>"00383498"</f>
        <v>00383498</v>
      </c>
    </row>
    <row r="4421" spans="1:2" x14ac:dyDescent="0.25">
      <c r="A4421" s="4">
        <v>4416</v>
      </c>
      <c r="B4421" s="3" t="str">
        <f>"00383548"</f>
        <v>00383548</v>
      </c>
    </row>
    <row r="4422" spans="1:2" x14ac:dyDescent="0.25">
      <c r="A4422" s="4">
        <v>4417</v>
      </c>
      <c r="B4422" s="3" t="str">
        <f>"00383590"</f>
        <v>00383590</v>
      </c>
    </row>
    <row r="4423" spans="1:2" x14ac:dyDescent="0.25">
      <c r="A4423" s="4">
        <v>4418</v>
      </c>
      <c r="B4423" s="3" t="str">
        <f>"00383602"</f>
        <v>00383602</v>
      </c>
    </row>
    <row r="4424" spans="1:2" x14ac:dyDescent="0.25">
      <c r="A4424" s="4">
        <v>4419</v>
      </c>
      <c r="B4424" s="3" t="str">
        <f>"00383706"</f>
        <v>00383706</v>
      </c>
    </row>
    <row r="4425" spans="1:2" x14ac:dyDescent="0.25">
      <c r="A4425" s="4">
        <v>4420</v>
      </c>
      <c r="B4425" s="3" t="str">
        <f>"00383737"</f>
        <v>00383737</v>
      </c>
    </row>
    <row r="4426" spans="1:2" x14ac:dyDescent="0.25">
      <c r="A4426" s="4">
        <v>4421</v>
      </c>
      <c r="B4426" s="3" t="str">
        <f>"00383743"</f>
        <v>00383743</v>
      </c>
    </row>
    <row r="4427" spans="1:2" x14ac:dyDescent="0.25">
      <c r="A4427" s="4">
        <v>4422</v>
      </c>
      <c r="B4427" s="3" t="str">
        <f>"00383745"</f>
        <v>00383745</v>
      </c>
    </row>
    <row r="4428" spans="1:2" x14ac:dyDescent="0.25">
      <c r="A4428" s="4">
        <v>4423</v>
      </c>
      <c r="B4428" s="3" t="str">
        <f>"00383774"</f>
        <v>00383774</v>
      </c>
    </row>
    <row r="4429" spans="1:2" x14ac:dyDescent="0.25">
      <c r="A4429" s="4">
        <v>4424</v>
      </c>
      <c r="B4429" s="3" t="str">
        <f>"00383878"</f>
        <v>00383878</v>
      </c>
    </row>
    <row r="4430" spans="1:2" x14ac:dyDescent="0.25">
      <c r="A4430" s="4">
        <v>4425</v>
      </c>
      <c r="B4430" s="3" t="str">
        <f>"00383896"</f>
        <v>00383896</v>
      </c>
    </row>
    <row r="4431" spans="1:2" x14ac:dyDescent="0.25">
      <c r="A4431" s="4">
        <v>4426</v>
      </c>
      <c r="B4431" s="3" t="str">
        <f>"00384007"</f>
        <v>00384007</v>
      </c>
    </row>
    <row r="4432" spans="1:2" x14ac:dyDescent="0.25">
      <c r="A4432" s="4">
        <v>4427</v>
      </c>
      <c r="B4432" s="3" t="str">
        <f>"00384046"</f>
        <v>00384046</v>
      </c>
    </row>
    <row r="4433" spans="1:2" x14ac:dyDescent="0.25">
      <c r="A4433" s="4">
        <v>4428</v>
      </c>
      <c r="B4433" s="3" t="str">
        <f>"00384073"</f>
        <v>00384073</v>
      </c>
    </row>
    <row r="4434" spans="1:2" x14ac:dyDescent="0.25">
      <c r="A4434" s="4">
        <v>4429</v>
      </c>
      <c r="B4434" s="3" t="str">
        <f>"00384184"</f>
        <v>00384184</v>
      </c>
    </row>
    <row r="4435" spans="1:2" x14ac:dyDescent="0.25">
      <c r="A4435" s="4">
        <v>4430</v>
      </c>
      <c r="B4435" s="3" t="str">
        <f>"00384195"</f>
        <v>00384195</v>
      </c>
    </row>
    <row r="4436" spans="1:2" x14ac:dyDescent="0.25">
      <c r="A4436" s="4">
        <v>4431</v>
      </c>
      <c r="B4436" s="3" t="str">
        <f>"00384232"</f>
        <v>00384232</v>
      </c>
    </row>
    <row r="4437" spans="1:2" x14ac:dyDescent="0.25">
      <c r="A4437" s="4">
        <v>4432</v>
      </c>
      <c r="B4437" s="3" t="str">
        <f>"00384242"</f>
        <v>00384242</v>
      </c>
    </row>
    <row r="4438" spans="1:2" x14ac:dyDescent="0.25">
      <c r="A4438" s="4">
        <v>4433</v>
      </c>
      <c r="B4438" s="3" t="str">
        <f>"00384312"</f>
        <v>00384312</v>
      </c>
    </row>
    <row r="4439" spans="1:2" x14ac:dyDescent="0.25">
      <c r="A4439" s="4">
        <v>4434</v>
      </c>
      <c r="B4439" s="3" t="str">
        <f>"00384321"</f>
        <v>00384321</v>
      </c>
    </row>
    <row r="4440" spans="1:2" x14ac:dyDescent="0.25">
      <c r="A4440" s="4">
        <v>4435</v>
      </c>
      <c r="B4440" s="3" t="str">
        <f>"00384497"</f>
        <v>00384497</v>
      </c>
    </row>
    <row r="4441" spans="1:2" x14ac:dyDescent="0.25">
      <c r="A4441" s="4">
        <v>4436</v>
      </c>
      <c r="B4441" s="3" t="str">
        <f>"00384563"</f>
        <v>00384563</v>
      </c>
    </row>
    <row r="4442" spans="1:2" x14ac:dyDescent="0.25">
      <c r="A4442" s="4">
        <v>4437</v>
      </c>
      <c r="B4442" s="3" t="str">
        <f>"00384603"</f>
        <v>00384603</v>
      </c>
    </row>
    <row r="4443" spans="1:2" x14ac:dyDescent="0.25">
      <c r="A4443" s="4">
        <v>4438</v>
      </c>
      <c r="B4443" s="3" t="str">
        <f>"00384622"</f>
        <v>00384622</v>
      </c>
    </row>
    <row r="4444" spans="1:2" x14ac:dyDescent="0.25">
      <c r="A4444" s="4">
        <v>4439</v>
      </c>
      <c r="B4444" s="3" t="str">
        <f>"00384659"</f>
        <v>00384659</v>
      </c>
    </row>
    <row r="4445" spans="1:2" x14ac:dyDescent="0.25">
      <c r="A4445" s="4">
        <v>4440</v>
      </c>
      <c r="B4445" s="3" t="str">
        <f>"00384660"</f>
        <v>00384660</v>
      </c>
    </row>
    <row r="4446" spans="1:2" x14ac:dyDescent="0.25">
      <c r="A4446" s="4">
        <v>4441</v>
      </c>
      <c r="B4446" s="3" t="str">
        <f>"00384746"</f>
        <v>00384746</v>
      </c>
    </row>
    <row r="4447" spans="1:2" x14ac:dyDescent="0.25">
      <c r="A4447" s="4">
        <v>4442</v>
      </c>
      <c r="B4447" s="3" t="str">
        <f>"00384777"</f>
        <v>00384777</v>
      </c>
    </row>
    <row r="4448" spans="1:2" x14ac:dyDescent="0.25">
      <c r="A4448" s="4">
        <v>4443</v>
      </c>
      <c r="B4448" s="3" t="str">
        <f>"00384859"</f>
        <v>00384859</v>
      </c>
    </row>
    <row r="4449" spans="1:2" x14ac:dyDescent="0.25">
      <c r="A4449" s="4">
        <v>4444</v>
      </c>
      <c r="B4449" s="3" t="str">
        <f>"00384862"</f>
        <v>00384862</v>
      </c>
    </row>
    <row r="4450" spans="1:2" x14ac:dyDescent="0.25">
      <c r="A4450" s="4">
        <v>4445</v>
      </c>
      <c r="B4450" s="3" t="str">
        <f>"00384915"</f>
        <v>00384915</v>
      </c>
    </row>
    <row r="4451" spans="1:2" x14ac:dyDescent="0.25">
      <c r="A4451" s="4">
        <v>4446</v>
      </c>
      <c r="B4451" s="3" t="str">
        <f>"00384947"</f>
        <v>00384947</v>
      </c>
    </row>
    <row r="4452" spans="1:2" x14ac:dyDescent="0.25">
      <c r="A4452" s="4">
        <v>4447</v>
      </c>
      <c r="B4452" s="3" t="str">
        <f>"00384951"</f>
        <v>00384951</v>
      </c>
    </row>
    <row r="4453" spans="1:2" x14ac:dyDescent="0.25">
      <c r="A4453" s="4">
        <v>4448</v>
      </c>
      <c r="B4453" s="3" t="str">
        <f>"00384965"</f>
        <v>00384965</v>
      </c>
    </row>
    <row r="4454" spans="1:2" x14ac:dyDescent="0.25">
      <c r="A4454" s="4">
        <v>4449</v>
      </c>
      <c r="B4454" s="3" t="str">
        <f>"00385018"</f>
        <v>00385018</v>
      </c>
    </row>
    <row r="4455" spans="1:2" x14ac:dyDescent="0.25">
      <c r="A4455" s="4">
        <v>4450</v>
      </c>
      <c r="B4455" s="3" t="str">
        <f>"00385074"</f>
        <v>00385074</v>
      </c>
    </row>
    <row r="4456" spans="1:2" x14ac:dyDescent="0.25">
      <c r="A4456" s="4">
        <v>4451</v>
      </c>
      <c r="B4456" s="3" t="str">
        <f>"00385148"</f>
        <v>00385148</v>
      </c>
    </row>
    <row r="4457" spans="1:2" x14ac:dyDescent="0.25">
      <c r="A4457" s="4">
        <v>4452</v>
      </c>
      <c r="B4457" s="3" t="str">
        <f>"00385150"</f>
        <v>00385150</v>
      </c>
    </row>
    <row r="4458" spans="1:2" x14ac:dyDescent="0.25">
      <c r="A4458" s="4">
        <v>4453</v>
      </c>
      <c r="B4458" s="3" t="str">
        <f>"00385171"</f>
        <v>00385171</v>
      </c>
    </row>
    <row r="4459" spans="1:2" x14ac:dyDescent="0.25">
      <c r="A4459" s="4">
        <v>4454</v>
      </c>
      <c r="B4459" s="3" t="str">
        <f>"00385309"</f>
        <v>00385309</v>
      </c>
    </row>
    <row r="4460" spans="1:2" x14ac:dyDescent="0.25">
      <c r="A4460" s="4">
        <v>4455</v>
      </c>
      <c r="B4460" s="3" t="str">
        <f>"00385362"</f>
        <v>00385362</v>
      </c>
    </row>
    <row r="4461" spans="1:2" x14ac:dyDescent="0.25">
      <c r="A4461" s="4">
        <v>4456</v>
      </c>
      <c r="B4461" s="3" t="str">
        <f>"00385392"</f>
        <v>00385392</v>
      </c>
    </row>
    <row r="4462" spans="1:2" x14ac:dyDescent="0.25">
      <c r="A4462" s="4">
        <v>4457</v>
      </c>
      <c r="B4462" s="3" t="str">
        <f>"00385423"</f>
        <v>00385423</v>
      </c>
    </row>
    <row r="4463" spans="1:2" x14ac:dyDescent="0.25">
      <c r="A4463" s="4">
        <v>4458</v>
      </c>
      <c r="B4463" s="3" t="str">
        <f>"00385437"</f>
        <v>00385437</v>
      </c>
    </row>
    <row r="4464" spans="1:2" x14ac:dyDescent="0.25">
      <c r="A4464" s="4">
        <v>4459</v>
      </c>
      <c r="B4464" s="3" t="str">
        <f>"00385472"</f>
        <v>00385472</v>
      </c>
    </row>
    <row r="4465" spans="1:2" x14ac:dyDescent="0.25">
      <c r="A4465" s="4">
        <v>4460</v>
      </c>
      <c r="B4465" s="3" t="str">
        <f>"00385572"</f>
        <v>00385572</v>
      </c>
    </row>
    <row r="4466" spans="1:2" x14ac:dyDescent="0.25">
      <c r="A4466" s="4">
        <v>4461</v>
      </c>
      <c r="B4466" s="3" t="str">
        <f>"00385649"</f>
        <v>00385649</v>
      </c>
    </row>
    <row r="4467" spans="1:2" x14ac:dyDescent="0.25">
      <c r="A4467" s="4">
        <v>4462</v>
      </c>
      <c r="B4467" s="3" t="str">
        <f>"00385652"</f>
        <v>00385652</v>
      </c>
    </row>
    <row r="4468" spans="1:2" x14ac:dyDescent="0.25">
      <c r="A4468" s="4">
        <v>4463</v>
      </c>
      <c r="B4468" s="3" t="str">
        <f>"00385665"</f>
        <v>00385665</v>
      </c>
    </row>
    <row r="4469" spans="1:2" x14ac:dyDescent="0.25">
      <c r="A4469" s="4">
        <v>4464</v>
      </c>
      <c r="B4469" s="3" t="str">
        <f>"00385776"</f>
        <v>00385776</v>
      </c>
    </row>
    <row r="4470" spans="1:2" x14ac:dyDescent="0.25">
      <c r="A4470" s="4">
        <v>4465</v>
      </c>
      <c r="B4470" s="3" t="str">
        <f>"00385786"</f>
        <v>00385786</v>
      </c>
    </row>
    <row r="4471" spans="1:2" x14ac:dyDescent="0.25">
      <c r="A4471" s="4">
        <v>4466</v>
      </c>
      <c r="B4471" s="3" t="str">
        <f>"00385854"</f>
        <v>00385854</v>
      </c>
    </row>
    <row r="4472" spans="1:2" x14ac:dyDescent="0.25">
      <c r="A4472" s="4">
        <v>4467</v>
      </c>
      <c r="B4472" s="3" t="str">
        <f>"00385930"</f>
        <v>00385930</v>
      </c>
    </row>
    <row r="4473" spans="1:2" x14ac:dyDescent="0.25">
      <c r="A4473" s="4">
        <v>4468</v>
      </c>
      <c r="B4473" s="3" t="str">
        <f>"00385944"</f>
        <v>00385944</v>
      </c>
    </row>
    <row r="4474" spans="1:2" x14ac:dyDescent="0.25">
      <c r="A4474" s="4">
        <v>4469</v>
      </c>
      <c r="B4474" s="3" t="str">
        <f>"00385996"</f>
        <v>00385996</v>
      </c>
    </row>
    <row r="4475" spans="1:2" x14ac:dyDescent="0.25">
      <c r="A4475" s="4">
        <v>4470</v>
      </c>
      <c r="B4475" s="3" t="str">
        <f>"00386117"</f>
        <v>00386117</v>
      </c>
    </row>
    <row r="4476" spans="1:2" x14ac:dyDescent="0.25">
      <c r="A4476" s="4">
        <v>4471</v>
      </c>
      <c r="B4476" s="3" t="str">
        <f>"00386141"</f>
        <v>00386141</v>
      </c>
    </row>
    <row r="4477" spans="1:2" x14ac:dyDescent="0.25">
      <c r="A4477" s="4">
        <v>4472</v>
      </c>
      <c r="B4477" s="3" t="str">
        <f>"00386145"</f>
        <v>00386145</v>
      </c>
    </row>
    <row r="4478" spans="1:2" x14ac:dyDescent="0.25">
      <c r="A4478" s="4">
        <v>4473</v>
      </c>
      <c r="B4478" s="3" t="str">
        <f>"00386168"</f>
        <v>00386168</v>
      </c>
    </row>
    <row r="4479" spans="1:2" x14ac:dyDescent="0.25">
      <c r="A4479" s="4">
        <v>4474</v>
      </c>
      <c r="B4479" s="3" t="str">
        <f>"00386179"</f>
        <v>00386179</v>
      </c>
    </row>
    <row r="4480" spans="1:2" x14ac:dyDescent="0.25">
      <c r="A4480" s="4">
        <v>4475</v>
      </c>
      <c r="B4480" s="3" t="str">
        <f>"00386206"</f>
        <v>00386206</v>
      </c>
    </row>
    <row r="4481" spans="1:2" x14ac:dyDescent="0.25">
      <c r="A4481" s="4">
        <v>4476</v>
      </c>
      <c r="B4481" s="3" t="str">
        <f>"00386334"</f>
        <v>00386334</v>
      </c>
    </row>
    <row r="4482" spans="1:2" x14ac:dyDescent="0.25">
      <c r="A4482" s="4">
        <v>4477</v>
      </c>
      <c r="B4482" s="3" t="str">
        <f>"00386365"</f>
        <v>00386365</v>
      </c>
    </row>
    <row r="4483" spans="1:2" x14ac:dyDescent="0.25">
      <c r="A4483" s="4">
        <v>4478</v>
      </c>
      <c r="B4483" s="3" t="str">
        <f>"00386447"</f>
        <v>00386447</v>
      </c>
    </row>
    <row r="4484" spans="1:2" x14ac:dyDescent="0.25">
      <c r="A4484" s="4">
        <v>4479</v>
      </c>
      <c r="B4484" s="3" t="str">
        <f>"00386585"</f>
        <v>00386585</v>
      </c>
    </row>
    <row r="4485" spans="1:2" x14ac:dyDescent="0.25">
      <c r="A4485" s="4">
        <v>4480</v>
      </c>
      <c r="B4485" s="3" t="str">
        <f>"00386589"</f>
        <v>00386589</v>
      </c>
    </row>
    <row r="4486" spans="1:2" x14ac:dyDescent="0.25">
      <c r="A4486" s="4">
        <v>4481</v>
      </c>
      <c r="B4486" s="3" t="str">
        <f>"00386599"</f>
        <v>00386599</v>
      </c>
    </row>
    <row r="4487" spans="1:2" x14ac:dyDescent="0.25">
      <c r="A4487" s="4">
        <v>4482</v>
      </c>
      <c r="B4487" s="3" t="str">
        <f>"00386630"</f>
        <v>00386630</v>
      </c>
    </row>
    <row r="4488" spans="1:2" x14ac:dyDescent="0.25">
      <c r="A4488" s="4">
        <v>4483</v>
      </c>
      <c r="B4488" s="3" t="str">
        <f>"00386701"</f>
        <v>00386701</v>
      </c>
    </row>
    <row r="4489" spans="1:2" x14ac:dyDescent="0.25">
      <c r="A4489" s="4">
        <v>4484</v>
      </c>
      <c r="B4489" s="3" t="str">
        <f>"00386747"</f>
        <v>00386747</v>
      </c>
    </row>
    <row r="4490" spans="1:2" x14ac:dyDescent="0.25">
      <c r="A4490" s="4">
        <v>4485</v>
      </c>
      <c r="B4490" s="3" t="str">
        <f>"00386764"</f>
        <v>00386764</v>
      </c>
    </row>
    <row r="4491" spans="1:2" x14ac:dyDescent="0.25">
      <c r="A4491" s="4">
        <v>4486</v>
      </c>
      <c r="B4491" s="3" t="str">
        <f>"00386785"</f>
        <v>00386785</v>
      </c>
    </row>
    <row r="4492" spans="1:2" x14ac:dyDescent="0.25">
      <c r="A4492" s="4">
        <v>4487</v>
      </c>
      <c r="B4492" s="3" t="str">
        <f>"00386800"</f>
        <v>00386800</v>
      </c>
    </row>
    <row r="4493" spans="1:2" x14ac:dyDescent="0.25">
      <c r="A4493" s="4">
        <v>4488</v>
      </c>
      <c r="B4493" s="3" t="str">
        <f>"00386835"</f>
        <v>00386835</v>
      </c>
    </row>
    <row r="4494" spans="1:2" x14ac:dyDescent="0.25">
      <c r="A4494" s="4">
        <v>4489</v>
      </c>
      <c r="B4494" s="3" t="str">
        <f>"00386866"</f>
        <v>00386866</v>
      </c>
    </row>
    <row r="4495" spans="1:2" x14ac:dyDescent="0.25">
      <c r="A4495" s="4">
        <v>4490</v>
      </c>
      <c r="B4495" s="3" t="str">
        <f>"00386916"</f>
        <v>00386916</v>
      </c>
    </row>
    <row r="4496" spans="1:2" x14ac:dyDescent="0.25">
      <c r="A4496" s="4">
        <v>4491</v>
      </c>
      <c r="B4496" s="3" t="str">
        <f>"00386930"</f>
        <v>00386930</v>
      </c>
    </row>
    <row r="4497" spans="1:2" x14ac:dyDescent="0.25">
      <c r="A4497" s="4">
        <v>4492</v>
      </c>
      <c r="B4497" s="3" t="str">
        <f>"00386937"</f>
        <v>00386937</v>
      </c>
    </row>
    <row r="4498" spans="1:2" x14ac:dyDescent="0.25">
      <c r="A4498" s="4">
        <v>4493</v>
      </c>
      <c r="B4498" s="3" t="str">
        <f>"00386943"</f>
        <v>00386943</v>
      </c>
    </row>
    <row r="4499" spans="1:2" x14ac:dyDescent="0.25">
      <c r="A4499" s="4">
        <v>4494</v>
      </c>
      <c r="B4499" s="3" t="str">
        <f>"00387071"</f>
        <v>00387071</v>
      </c>
    </row>
    <row r="4500" spans="1:2" x14ac:dyDescent="0.25">
      <c r="A4500" s="4">
        <v>4495</v>
      </c>
      <c r="B4500" s="3" t="str">
        <f>"00387109"</f>
        <v>00387109</v>
      </c>
    </row>
    <row r="4501" spans="1:2" x14ac:dyDescent="0.25">
      <c r="A4501" s="4">
        <v>4496</v>
      </c>
      <c r="B4501" s="3" t="str">
        <f>"00387131"</f>
        <v>00387131</v>
      </c>
    </row>
    <row r="4502" spans="1:2" x14ac:dyDescent="0.25">
      <c r="A4502" s="4">
        <v>4497</v>
      </c>
      <c r="B4502" s="3" t="str">
        <f>"00387151"</f>
        <v>00387151</v>
      </c>
    </row>
    <row r="4503" spans="1:2" x14ac:dyDescent="0.25">
      <c r="A4503" s="4">
        <v>4498</v>
      </c>
      <c r="B4503" s="3" t="str">
        <f>"00387172"</f>
        <v>00387172</v>
      </c>
    </row>
    <row r="4504" spans="1:2" x14ac:dyDescent="0.25">
      <c r="A4504" s="4">
        <v>4499</v>
      </c>
      <c r="B4504" s="3" t="str">
        <f>"00387426"</f>
        <v>00387426</v>
      </c>
    </row>
    <row r="4505" spans="1:2" x14ac:dyDescent="0.25">
      <c r="A4505" s="4">
        <v>4500</v>
      </c>
      <c r="B4505" s="3" t="str">
        <f>"00387519"</f>
        <v>00387519</v>
      </c>
    </row>
    <row r="4506" spans="1:2" x14ac:dyDescent="0.25">
      <c r="A4506" s="4">
        <v>4501</v>
      </c>
      <c r="B4506" s="3" t="str">
        <f>"00387547"</f>
        <v>00387547</v>
      </c>
    </row>
    <row r="4507" spans="1:2" x14ac:dyDescent="0.25">
      <c r="A4507" s="4">
        <v>4502</v>
      </c>
      <c r="B4507" s="3" t="str">
        <f>"00387551"</f>
        <v>00387551</v>
      </c>
    </row>
    <row r="4508" spans="1:2" x14ac:dyDescent="0.25">
      <c r="A4508" s="4">
        <v>4503</v>
      </c>
      <c r="B4508" s="3" t="str">
        <f>"00387711"</f>
        <v>00387711</v>
      </c>
    </row>
    <row r="4509" spans="1:2" x14ac:dyDescent="0.25">
      <c r="A4509" s="4">
        <v>4504</v>
      </c>
      <c r="B4509" s="3" t="str">
        <f>"00387748"</f>
        <v>00387748</v>
      </c>
    </row>
    <row r="4510" spans="1:2" x14ac:dyDescent="0.25">
      <c r="A4510" s="4">
        <v>4505</v>
      </c>
      <c r="B4510" s="3" t="str">
        <f>"00387762"</f>
        <v>00387762</v>
      </c>
    </row>
    <row r="4511" spans="1:2" x14ac:dyDescent="0.25">
      <c r="A4511" s="4">
        <v>4506</v>
      </c>
      <c r="B4511" s="3" t="str">
        <f>"00387790"</f>
        <v>00387790</v>
      </c>
    </row>
    <row r="4512" spans="1:2" x14ac:dyDescent="0.25">
      <c r="A4512" s="4">
        <v>4507</v>
      </c>
      <c r="B4512" s="3" t="str">
        <f>"00387796"</f>
        <v>00387796</v>
      </c>
    </row>
    <row r="4513" spans="1:2" x14ac:dyDescent="0.25">
      <c r="A4513" s="4">
        <v>4508</v>
      </c>
      <c r="B4513" s="3" t="str">
        <f>"00387820"</f>
        <v>00387820</v>
      </c>
    </row>
    <row r="4514" spans="1:2" x14ac:dyDescent="0.25">
      <c r="A4514" s="4">
        <v>4509</v>
      </c>
      <c r="B4514" s="3" t="str">
        <f>"00387826"</f>
        <v>00387826</v>
      </c>
    </row>
    <row r="4515" spans="1:2" x14ac:dyDescent="0.25">
      <c r="A4515" s="4">
        <v>4510</v>
      </c>
      <c r="B4515" s="3" t="str">
        <f>"00387929"</f>
        <v>00387929</v>
      </c>
    </row>
    <row r="4516" spans="1:2" x14ac:dyDescent="0.25">
      <c r="A4516" s="4">
        <v>4511</v>
      </c>
      <c r="B4516" s="3" t="str">
        <f>"00387964"</f>
        <v>00387964</v>
      </c>
    </row>
    <row r="4517" spans="1:2" x14ac:dyDescent="0.25">
      <c r="A4517" s="4">
        <v>4512</v>
      </c>
      <c r="B4517" s="3" t="str">
        <f>"00387972"</f>
        <v>00387972</v>
      </c>
    </row>
    <row r="4518" spans="1:2" x14ac:dyDescent="0.25">
      <c r="A4518" s="4">
        <v>4513</v>
      </c>
      <c r="B4518" s="3" t="str">
        <f>"00387983"</f>
        <v>00387983</v>
      </c>
    </row>
    <row r="4519" spans="1:2" x14ac:dyDescent="0.25">
      <c r="A4519" s="4">
        <v>4514</v>
      </c>
      <c r="B4519" s="3" t="str">
        <f>"00388082"</f>
        <v>00388082</v>
      </c>
    </row>
    <row r="4520" spans="1:2" x14ac:dyDescent="0.25">
      <c r="A4520" s="4">
        <v>4515</v>
      </c>
      <c r="B4520" s="3" t="str">
        <f>"00388107"</f>
        <v>00388107</v>
      </c>
    </row>
    <row r="4521" spans="1:2" x14ac:dyDescent="0.25">
      <c r="A4521" s="4">
        <v>4516</v>
      </c>
      <c r="B4521" s="3" t="str">
        <f>"00388162"</f>
        <v>00388162</v>
      </c>
    </row>
    <row r="4522" spans="1:2" x14ac:dyDescent="0.25">
      <c r="A4522" s="4">
        <v>4517</v>
      </c>
      <c r="B4522" s="3" t="str">
        <f>"00388198"</f>
        <v>00388198</v>
      </c>
    </row>
    <row r="4523" spans="1:2" x14ac:dyDescent="0.25">
      <c r="A4523" s="4">
        <v>4518</v>
      </c>
      <c r="B4523" s="3" t="str">
        <f>"00388353"</f>
        <v>00388353</v>
      </c>
    </row>
    <row r="4524" spans="1:2" x14ac:dyDescent="0.25">
      <c r="A4524" s="4">
        <v>4519</v>
      </c>
      <c r="B4524" s="3" t="str">
        <f>"00388386"</f>
        <v>00388386</v>
      </c>
    </row>
    <row r="4525" spans="1:2" x14ac:dyDescent="0.25">
      <c r="A4525" s="4">
        <v>4520</v>
      </c>
      <c r="B4525" s="3" t="str">
        <f>"00388456"</f>
        <v>00388456</v>
      </c>
    </row>
    <row r="4526" spans="1:2" x14ac:dyDescent="0.25">
      <c r="A4526" s="4">
        <v>4521</v>
      </c>
      <c r="B4526" s="3" t="str">
        <f>"00388462"</f>
        <v>00388462</v>
      </c>
    </row>
    <row r="4527" spans="1:2" x14ac:dyDescent="0.25">
      <c r="A4527" s="4">
        <v>4522</v>
      </c>
      <c r="B4527" s="3" t="str">
        <f>"00388519"</f>
        <v>00388519</v>
      </c>
    </row>
    <row r="4528" spans="1:2" x14ac:dyDescent="0.25">
      <c r="A4528" s="4">
        <v>4523</v>
      </c>
      <c r="B4528" s="3" t="str">
        <f>"00388574"</f>
        <v>00388574</v>
      </c>
    </row>
    <row r="4529" spans="1:2" x14ac:dyDescent="0.25">
      <c r="A4529" s="4">
        <v>4524</v>
      </c>
      <c r="B4529" s="3" t="str">
        <f>"00388622"</f>
        <v>00388622</v>
      </c>
    </row>
    <row r="4530" spans="1:2" x14ac:dyDescent="0.25">
      <c r="A4530" s="4">
        <v>4525</v>
      </c>
      <c r="B4530" s="3" t="str">
        <f>"00388694"</f>
        <v>00388694</v>
      </c>
    </row>
    <row r="4531" spans="1:2" x14ac:dyDescent="0.25">
      <c r="A4531" s="4">
        <v>4526</v>
      </c>
      <c r="B4531" s="3" t="str">
        <f>"00388705"</f>
        <v>00388705</v>
      </c>
    </row>
    <row r="4532" spans="1:2" x14ac:dyDescent="0.25">
      <c r="A4532" s="4">
        <v>4527</v>
      </c>
      <c r="B4532" s="3" t="str">
        <f>"00388724"</f>
        <v>00388724</v>
      </c>
    </row>
    <row r="4533" spans="1:2" x14ac:dyDescent="0.25">
      <c r="A4533" s="4">
        <v>4528</v>
      </c>
      <c r="B4533" s="3" t="str">
        <f>"00388744"</f>
        <v>00388744</v>
      </c>
    </row>
    <row r="4534" spans="1:2" x14ac:dyDescent="0.25">
      <c r="A4534" s="4">
        <v>4529</v>
      </c>
      <c r="B4534" s="3" t="str">
        <f>"00388885"</f>
        <v>00388885</v>
      </c>
    </row>
    <row r="4535" spans="1:2" x14ac:dyDescent="0.25">
      <c r="A4535" s="4">
        <v>4530</v>
      </c>
      <c r="B4535" s="3" t="str">
        <f>"00388920"</f>
        <v>00388920</v>
      </c>
    </row>
    <row r="4536" spans="1:2" x14ac:dyDescent="0.25">
      <c r="A4536" s="4">
        <v>4531</v>
      </c>
      <c r="B4536" s="3" t="str">
        <f>"00388947"</f>
        <v>00388947</v>
      </c>
    </row>
    <row r="4537" spans="1:2" x14ac:dyDescent="0.25">
      <c r="A4537" s="4">
        <v>4532</v>
      </c>
      <c r="B4537" s="3" t="str">
        <f>"00388971"</f>
        <v>00388971</v>
      </c>
    </row>
    <row r="4538" spans="1:2" x14ac:dyDescent="0.25">
      <c r="A4538" s="4">
        <v>4533</v>
      </c>
      <c r="B4538" s="3" t="str">
        <f>"00389040"</f>
        <v>00389040</v>
      </c>
    </row>
    <row r="4539" spans="1:2" x14ac:dyDescent="0.25">
      <c r="A4539" s="4">
        <v>4534</v>
      </c>
      <c r="B4539" s="3" t="str">
        <f>"00389106"</f>
        <v>00389106</v>
      </c>
    </row>
    <row r="4540" spans="1:2" x14ac:dyDescent="0.25">
      <c r="A4540" s="4">
        <v>4535</v>
      </c>
      <c r="B4540" s="3" t="str">
        <f>"00389118"</f>
        <v>00389118</v>
      </c>
    </row>
    <row r="4541" spans="1:2" x14ac:dyDescent="0.25">
      <c r="A4541" s="4">
        <v>4536</v>
      </c>
      <c r="B4541" s="3" t="str">
        <f>"00389178"</f>
        <v>00389178</v>
      </c>
    </row>
    <row r="4542" spans="1:2" x14ac:dyDescent="0.25">
      <c r="A4542" s="4">
        <v>4537</v>
      </c>
      <c r="B4542" s="3" t="str">
        <f>"00389190"</f>
        <v>00389190</v>
      </c>
    </row>
    <row r="4543" spans="1:2" x14ac:dyDescent="0.25">
      <c r="A4543" s="4">
        <v>4538</v>
      </c>
      <c r="B4543" s="3" t="str">
        <f>"00389333"</f>
        <v>00389333</v>
      </c>
    </row>
    <row r="4544" spans="1:2" x14ac:dyDescent="0.25">
      <c r="A4544" s="4">
        <v>4539</v>
      </c>
      <c r="B4544" s="3" t="str">
        <f>"00389344"</f>
        <v>00389344</v>
      </c>
    </row>
    <row r="4545" spans="1:2" x14ac:dyDescent="0.25">
      <c r="A4545" s="4">
        <v>4540</v>
      </c>
      <c r="B4545" s="3" t="str">
        <f>"00389346"</f>
        <v>00389346</v>
      </c>
    </row>
    <row r="4546" spans="1:2" x14ac:dyDescent="0.25">
      <c r="A4546" s="4">
        <v>4541</v>
      </c>
      <c r="B4546" s="3" t="str">
        <f>"00389402"</f>
        <v>00389402</v>
      </c>
    </row>
    <row r="4547" spans="1:2" x14ac:dyDescent="0.25">
      <c r="A4547" s="4">
        <v>4542</v>
      </c>
      <c r="B4547" s="3" t="str">
        <f>"00389486"</f>
        <v>00389486</v>
      </c>
    </row>
    <row r="4548" spans="1:2" x14ac:dyDescent="0.25">
      <c r="A4548" s="4">
        <v>4543</v>
      </c>
      <c r="B4548" s="3" t="str">
        <f>"00389760"</f>
        <v>00389760</v>
      </c>
    </row>
    <row r="4549" spans="1:2" x14ac:dyDescent="0.25">
      <c r="A4549" s="4">
        <v>4544</v>
      </c>
      <c r="B4549" s="3" t="str">
        <f>"00389831"</f>
        <v>00389831</v>
      </c>
    </row>
    <row r="4550" spans="1:2" x14ac:dyDescent="0.25">
      <c r="A4550" s="4">
        <v>4545</v>
      </c>
      <c r="B4550" s="3" t="str">
        <f>"00389848"</f>
        <v>00389848</v>
      </c>
    </row>
    <row r="4551" spans="1:2" x14ac:dyDescent="0.25">
      <c r="A4551" s="4">
        <v>4546</v>
      </c>
      <c r="B4551" s="3" t="str">
        <f>"00389857"</f>
        <v>00389857</v>
      </c>
    </row>
    <row r="4552" spans="1:2" x14ac:dyDescent="0.25">
      <c r="A4552" s="4">
        <v>4547</v>
      </c>
      <c r="B4552" s="3" t="str">
        <f>"00389864"</f>
        <v>00389864</v>
      </c>
    </row>
    <row r="4553" spans="1:2" x14ac:dyDescent="0.25">
      <c r="A4553" s="4">
        <v>4548</v>
      </c>
      <c r="B4553" s="3" t="str">
        <f>"00390064"</f>
        <v>00390064</v>
      </c>
    </row>
    <row r="4554" spans="1:2" x14ac:dyDescent="0.25">
      <c r="A4554" s="4">
        <v>4549</v>
      </c>
      <c r="B4554" s="3" t="str">
        <f>"00390138"</f>
        <v>00390138</v>
      </c>
    </row>
    <row r="4555" spans="1:2" x14ac:dyDescent="0.25">
      <c r="A4555" s="4">
        <v>4550</v>
      </c>
      <c r="B4555" s="3" t="str">
        <f>"00390140"</f>
        <v>00390140</v>
      </c>
    </row>
    <row r="4556" spans="1:2" x14ac:dyDescent="0.25">
      <c r="A4556" s="4">
        <v>4551</v>
      </c>
      <c r="B4556" s="3" t="str">
        <f>"00390187"</f>
        <v>00390187</v>
      </c>
    </row>
    <row r="4557" spans="1:2" x14ac:dyDescent="0.25">
      <c r="A4557" s="4">
        <v>4552</v>
      </c>
      <c r="B4557" s="3" t="str">
        <f>"00390195"</f>
        <v>00390195</v>
      </c>
    </row>
    <row r="4558" spans="1:2" x14ac:dyDescent="0.25">
      <c r="A4558" s="4">
        <v>4553</v>
      </c>
      <c r="B4558" s="3" t="str">
        <f>"00390199"</f>
        <v>00390199</v>
      </c>
    </row>
    <row r="4559" spans="1:2" x14ac:dyDescent="0.25">
      <c r="A4559" s="4">
        <v>4554</v>
      </c>
      <c r="B4559" s="3" t="str">
        <f>"00390208"</f>
        <v>00390208</v>
      </c>
    </row>
    <row r="4560" spans="1:2" x14ac:dyDescent="0.25">
      <c r="A4560" s="4">
        <v>4555</v>
      </c>
      <c r="B4560" s="3" t="str">
        <f>"00390355"</f>
        <v>00390355</v>
      </c>
    </row>
    <row r="4561" spans="1:2" x14ac:dyDescent="0.25">
      <c r="A4561" s="4">
        <v>4556</v>
      </c>
      <c r="B4561" s="3" t="str">
        <f>"00390406"</f>
        <v>00390406</v>
      </c>
    </row>
    <row r="4562" spans="1:2" x14ac:dyDescent="0.25">
      <c r="A4562" s="4">
        <v>4557</v>
      </c>
      <c r="B4562" s="3" t="str">
        <f>"00390415"</f>
        <v>00390415</v>
      </c>
    </row>
    <row r="4563" spans="1:2" x14ac:dyDescent="0.25">
      <c r="A4563" s="4">
        <v>4558</v>
      </c>
      <c r="B4563" s="3" t="str">
        <f>"00390436"</f>
        <v>00390436</v>
      </c>
    </row>
    <row r="4564" spans="1:2" x14ac:dyDescent="0.25">
      <c r="A4564" s="4">
        <v>4559</v>
      </c>
      <c r="B4564" s="3" t="str">
        <f>"00390516"</f>
        <v>00390516</v>
      </c>
    </row>
    <row r="4565" spans="1:2" x14ac:dyDescent="0.25">
      <c r="A4565" s="4">
        <v>4560</v>
      </c>
      <c r="B4565" s="3" t="str">
        <f>"00390537"</f>
        <v>00390537</v>
      </c>
    </row>
    <row r="4566" spans="1:2" x14ac:dyDescent="0.25">
      <c r="A4566" s="4">
        <v>4561</v>
      </c>
      <c r="B4566" s="3" t="str">
        <f>"00390676"</f>
        <v>00390676</v>
      </c>
    </row>
    <row r="4567" spans="1:2" x14ac:dyDescent="0.25">
      <c r="A4567" s="4">
        <v>4562</v>
      </c>
      <c r="B4567" s="3" t="str">
        <f>"00390703"</f>
        <v>00390703</v>
      </c>
    </row>
    <row r="4568" spans="1:2" x14ac:dyDescent="0.25">
      <c r="A4568" s="4">
        <v>4563</v>
      </c>
      <c r="B4568" s="3" t="str">
        <f>"00390735"</f>
        <v>00390735</v>
      </c>
    </row>
    <row r="4569" spans="1:2" x14ac:dyDescent="0.25">
      <c r="A4569" s="4">
        <v>4564</v>
      </c>
      <c r="B4569" s="3" t="str">
        <f>"00390801"</f>
        <v>00390801</v>
      </c>
    </row>
    <row r="4570" spans="1:2" x14ac:dyDescent="0.25">
      <c r="A4570" s="4">
        <v>4565</v>
      </c>
      <c r="B4570" s="3" t="str">
        <f>"00390810"</f>
        <v>00390810</v>
      </c>
    </row>
    <row r="4571" spans="1:2" x14ac:dyDescent="0.25">
      <c r="A4571" s="4">
        <v>4566</v>
      </c>
      <c r="B4571" s="3" t="str">
        <f>"00390824"</f>
        <v>00390824</v>
      </c>
    </row>
    <row r="4572" spans="1:2" x14ac:dyDescent="0.25">
      <c r="A4572" s="4">
        <v>4567</v>
      </c>
      <c r="B4572" s="3" t="str">
        <f>"00390878"</f>
        <v>00390878</v>
      </c>
    </row>
    <row r="4573" spans="1:2" x14ac:dyDescent="0.25">
      <c r="A4573" s="4">
        <v>4568</v>
      </c>
      <c r="B4573" s="3" t="str">
        <f>"00390894"</f>
        <v>00390894</v>
      </c>
    </row>
    <row r="4574" spans="1:2" x14ac:dyDescent="0.25">
      <c r="A4574" s="4">
        <v>4569</v>
      </c>
      <c r="B4574" s="3" t="str">
        <f>"00390987"</f>
        <v>00390987</v>
      </c>
    </row>
    <row r="4575" spans="1:2" x14ac:dyDescent="0.25">
      <c r="A4575" s="4">
        <v>4570</v>
      </c>
      <c r="B4575" s="3" t="str">
        <f>"00391031"</f>
        <v>00391031</v>
      </c>
    </row>
    <row r="4576" spans="1:2" x14ac:dyDescent="0.25">
      <c r="A4576" s="4">
        <v>4571</v>
      </c>
      <c r="B4576" s="3" t="str">
        <f>"00391057"</f>
        <v>00391057</v>
      </c>
    </row>
    <row r="4577" spans="1:2" x14ac:dyDescent="0.25">
      <c r="A4577" s="4">
        <v>4572</v>
      </c>
      <c r="B4577" s="3" t="str">
        <f>"00391201"</f>
        <v>00391201</v>
      </c>
    </row>
    <row r="4578" spans="1:2" x14ac:dyDescent="0.25">
      <c r="A4578" s="4">
        <v>4573</v>
      </c>
      <c r="B4578" s="3" t="str">
        <f>"00391218"</f>
        <v>00391218</v>
      </c>
    </row>
    <row r="4579" spans="1:2" x14ac:dyDescent="0.25">
      <c r="A4579" s="4">
        <v>4574</v>
      </c>
      <c r="B4579" s="3" t="str">
        <f>"00391270"</f>
        <v>00391270</v>
      </c>
    </row>
    <row r="4580" spans="1:2" x14ac:dyDescent="0.25">
      <c r="A4580" s="4">
        <v>4575</v>
      </c>
      <c r="B4580" s="3" t="str">
        <f>"00391291"</f>
        <v>00391291</v>
      </c>
    </row>
    <row r="4581" spans="1:2" x14ac:dyDescent="0.25">
      <c r="A4581" s="4">
        <v>4576</v>
      </c>
      <c r="B4581" s="3" t="str">
        <f>"00391308"</f>
        <v>00391308</v>
      </c>
    </row>
    <row r="4582" spans="1:2" x14ac:dyDescent="0.25">
      <c r="A4582" s="4">
        <v>4577</v>
      </c>
      <c r="B4582" s="3" t="str">
        <f>"00391335"</f>
        <v>00391335</v>
      </c>
    </row>
    <row r="4583" spans="1:2" x14ac:dyDescent="0.25">
      <c r="A4583" s="4">
        <v>4578</v>
      </c>
      <c r="B4583" s="3" t="str">
        <f>"00391353"</f>
        <v>00391353</v>
      </c>
    </row>
    <row r="4584" spans="1:2" x14ac:dyDescent="0.25">
      <c r="A4584" s="4">
        <v>4579</v>
      </c>
      <c r="B4584" s="3" t="str">
        <f>"00391376"</f>
        <v>00391376</v>
      </c>
    </row>
    <row r="4585" spans="1:2" x14ac:dyDescent="0.25">
      <c r="A4585" s="4">
        <v>4580</v>
      </c>
      <c r="B4585" s="3" t="str">
        <f>"00391396"</f>
        <v>00391396</v>
      </c>
    </row>
    <row r="4586" spans="1:2" x14ac:dyDescent="0.25">
      <c r="A4586" s="4">
        <v>4581</v>
      </c>
      <c r="B4586" s="3" t="str">
        <f>"00391435"</f>
        <v>00391435</v>
      </c>
    </row>
    <row r="4587" spans="1:2" x14ac:dyDescent="0.25">
      <c r="A4587" s="4">
        <v>4582</v>
      </c>
      <c r="B4587" s="3" t="str">
        <f>"00391499"</f>
        <v>00391499</v>
      </c>
    </row>
    <row r="4588" spans="1:2" x14ac:dyDescent="0.25">
      <c r="A4588" s="4">
        <v>4583</v>
      </c>
      <c r="B4588" s="3" t="str">
        <f>"00391508"</f>
        <v>00391508</v>
      </c>
    </row>
    <row r="4589" spans="1:2" x14ac:dyDescent="0.25">
      <c r="A4589" s="4">
        <v>4584</v>
      </c>
      <c r="B4589" s="3" t="str">
        <f>"00391552"</f>
        <v>00391552</v>
      </c>
    </row>
    <row r="4590" spans="1:2" x14ac:dyDescent="0.25">
      <c r="A4590" s="4">
        <v>4585</v>
      </c>
      <c r="B4590" s="3" t="str">
        <f>"00391579"</f>
        <v>00391579</v>
      </c>
    </row>
    <row r="4591" spans="1:2" x14ac:dyDescent="0.25">
      <c r="A4591" s="4">
        <v>4586</v>
      </c>
      <c r="B4591" s="3" t="str">
        <f>"00391615"</f>
        <v>00391615</v>
      </c>
    </row>
    <row r="4592" spans="1:2" x14ac:dyDescent="0.25">
      <c r="A4592" s="4">
        <v>4587</v>
      </c>
      <c r="B4592" s="3" t="str">
        <f>"00391648"</f>
        <v>00391648</v>
      </c>
    </row>
    <row r="4593" spans="1:2" x14ac:dyDescent="0.25">
      <c r="A4593" s="4">
        <v>4588</v>
      </c>
      <c r="B4593" s="3" t="str">
        <f>"00391663"</f>
        <v>00391663</v>
      </c>
    </row>
    <row r="4594" spans="1:2" x14ac:dyDescent="0.25">
      <c r="A4594" s="4">
        <v>4589</v>
      </c>
      <c r="B4594" s="3" t="str">
        <f>"00391685"</f>
        <v>00391685</v>
      </c>
    </row>
    <row r="4595" spans="1:2" x14ac:dyDescent="0.25">
      <c r="A4595" s="4">
        <v>4590</v>
      </c>
      <c r="B4595" s="3" t="str">
        <f>"00391692"</f>
        <v>00391692</v>
      </c>
    </row>
    <row r="4596" spans="1:2" x14ac:dyDescent="0.25">
      <c r="A4596" s="4">
        <v>4591</v>
      </c>
      <c r="B4596" s="3" t="str">
        <f>"00391701"</f>
        <v>00391701</v>
      </c>
    </row>
    <row r="4597" spans="1:2" x14ac:dyDescent="0.25">
      <c r="A4597" s="4">
        <v>4592</v>
      </c>
      <c r="B4597" s="3" t="str">
        <f>"00391703"</f>
        <v>00391703</v>
      </c>
    </row>
    <row r="4598" spans="1:2" x14ac:dyDescent="0.25">
      <c r="A4598" s="4">
        <v>4593</v>
      </c>
      <c r="B4598" s="3" t="str">
        <f>"00391761"</f>
        <v>00391761</v>
      </c>
    </row>
    <row r="4599" spans="1:2" x14ac:dyDescent="0.25">
      <c r="A4599" s="4">
        <v>4594</v>
      </c>
      <c r="B4599" s="3" t="str">
        <f>"00391789"</f>
        <v>00391789</v>
      </c>
    </row>
    <row r="4600" spans="1:2" x14ac:dyDescent="0.25">
      <c r="A4600" s="4">
        <v>4595</v>
      </c>
      <c r="B4600" s="3" t="str">
        <f>"00391834"</f>
        <v>00391834</v>
      </c>
    </row>
    <row r="4601" spans="1:2" x14ac:dyDescent="0.25">
      <c r="A4601" s="4">
        <v>4596</v>
      </c>
      <c r="B4601" s="3" t="str">
        <f>"00391838"</f>
        <v>00391838</v>
      </c>
    </row>
    <row r="4602" spans="1:2" x14ac:dyDescent="0.25">
      <c r="A4602" s="4">
        <v>4597</v>
      </c>
      <c r="B4602" s="3" t="str">
        <f>"00391862"</f>
        <v>00391862</v>
      </c>
    </row>
    <row r="4603" spans="1:2" x14ac:dyDescent="0.25">
      <c r="A4603" s="4">
        <v>4598</v>
      </c>
      <c r="B4603" s="3" t="str">
        <f>"00391915"</f>
        <v>00391915</v>
      </c>
    </row>
    <row r="4604" spans="1:2" x14ac:dyDescent="0.25">
      <c r="A4604" s="4">
        <v>4599</v>
      </c>
      <c r="B4604" s="3" t="str">
        <f>"00391935"</f>
        <v>00391935</v>
      </c>
    </row>
    <row r="4605" spans="1:2" x14ac:dyDescent="0.25">
      <c r="A4605" s="4">
        <v>4600</v>
      </c>
      <c r="B4605" s="3" t="str">
        <f>"00391966"</f>
        <v>00391966</v>
      </c>
    </row>
    <row r="4606" spans="1:2" x14ac:dyDescent="0.25">
      <c r="A4606" s="4">
        <v>4601</v>
      </c>
      <c r="B4606" s="3" t="str">
        <f>"00392030"</f>
        <v>00392030</v>
      </c>
    </row>
    <row r="4607" spans="1:2" x14ac:dyDescent="0.25">
      <c r="A4607" s="4">
        <v>4602</v>
      </c>
      <c r="B4607" s="3" t="str">
        <f>"00392044"</f>
        <v>00392044</v>
      </c>
    </row>
    <row r="4608" spans="1:2" x14ac:dyDescent="0.25">
      <c r="A4608" s="4">
        <v>4603</v>
      </c>
      <c r="B4608" s="3" t="str">
        <f>"00392056"</f>
        <v>00392056</v>
      </c>
    </row>
    <row r="4609" spans="1:2" x14ac:dyDescent="0.25">
      <c r="A4609" s="4">
        <v>4604</v>
      </c>
      <c r="B4609" s="3" t="str">
        <f>"00392069"</f>
        <v>00392069</v>
      </c>
    </row>
    <row r="4610" spans="1:2" x14ac:dyDescent="0.25">
      <c r="A4610" s="4">
        <v>4605</v>
      </c>
      <c r="B4610" s="3" t="str">
        <f>"00392531"</f>
        <v>00392531</v>
      </c>
    </row>
    <row r="4611" spans="1:2" x14ac:dyDescent="0.25">
      <c r="A4611" s="4">
        <v>4606</v>
      </c>
      <c r="B4611" s="3" t="str">
        <f>"00392548"</f>
        <v>00392548</v>
      </c>
    </row>
    <row r="4612" spans="1:2" x14ac:dyDescent="0.25">
      <c r="A4612" s="4">
        <v>4607</v>
      </c>
      <c r="B4612" s="3" t="str">
        <f>"00392576"</f>
        <v>00392576</v>
      </c>
    </row>
    <row r="4613" spans="1:2" x14ac:dyDescent="0.25">
      <c r="A4613" s="4">
        <v>4608</v>
      </c>
      <c r="B4613" s="3" t="str">
        <f>"00392645"</f>
        <v>00392645</v>
      </c>
    </row>
    <row r="4614" spans="1:2" x14ac:dyDescent="0.25">
      <c r="A4614" s="4">
        <v>4609</v>
      </c>
      <c r="B4614" s="3" t="str">
        <f>"00392664"</f>
        <v>00392664</v>
      </c>
    </row>
    <row r="4615" spans="1:2" x14ac:dyDescent="0.25">
      <c r="A4615" s="4">
        <v>4610</v>
      </c>
      <c r="B4615" s="3" t="str">
        <f>"00392693"</f>
        <v>00392693</v>
      </c>
    </row>
    <row r="4616" spans="1:2" x14ac:dyDescent="0.25">
      <c r="A4616" s="4">
        <v>4611</v>
      </c>
      <c r="B4616" s="3" t="str">
        <f>"00392694"</f>
        <v>00392694</v>
      </c>
    </row>
    <row r="4617" spans="1:2" x14ac:dyDescent="0.25">
      <c r="A4617" s="4">
        <v>4612</v>
      </c>
      <c r="B4617" s="3" t="str">
        <f>"00392754"</f>
        <v>00392754</v>
      </c>
    </row>
    <row r="4618" spans="1:2" x14ac:dyDescent="0.25">
      <c r="A4618" s="4">
        <v>4613</v>
      </c>
      <c r="B4618" s="3" t="str">
        <f>"00392806"</f>
        <v>00392806</v>
      </c>
    </row>
    <row r="4619" spans="1:2" x14ac:dyDescent="0.25">
      <c r="A4619" s="4">
        <v>4614</v>
      </c>
      <c r="B4619" s="3" t="str">
        <f>"00392831"</f>
        <v>00392831</v>
      </c>
    </row>
    <row r="4620" spans="1:2" x14ac:dyDescent="0.25">
      <c r="A4620" s="4">
        <v>4615</v>
      </c>
      <c r="B4620" s="3" t="str">
        <f>"00392846"</f>
        <v>00392846</v>
      </c>
    </row>
    <row r="4621" spans="1:2" x14ac:dyDescent="0.25">
      <c r="A4621" s="4">
        <v>4616</v>
      </c>
      <c r="B4621" s="3" t="str">
        <f>"00392854"</f>
        <v>00392854</v>
      </c>
    </row>
    <row r="4622" spans="1:2" x14ac:dyDescent="0.25">
      <c r="A4622" s="4">
        <v>4617</v>
      </c>
      <c r="B4622" s="3" t="str">
        <f>"00392857"</f>
        <v>00392857</v>
      </c>
    </row>
    <row r="4623" spans="1:2" x14ac:dyDescent="0.25">
      <c r="A4623" s="4">
        <v>4618</v>
      </c>
      <c r="B4623" s="3" t="str">
        <f>"00392858"</f>
        <v>00392858</v>
      </c>
    </row>
    <row r="4624" spans="1:2" x14ac:dyDescent="0.25">
      <c r="A4624" s="4">
        <v>4619</v>
      </c>
      <c r="B4624" s="3" t="str">
        <f>"00392879"</f>
        <v>00392879</v>
      </c>
    </row>
    <row r="4625" spans="1:2" x14ac:dyDescent="0.25">
      <c r="A4625" s="4">
        <v>4620</v>
      </c>
      <c r="B4625" s="3" t="str">
        <f>"00393005"</f>
        <v>00393005</v>
      </c>
    </row>
    <row r="4626" spans="1:2" x14ac:dyDescent="0.25">
      <c r="A4626" s="4">
        <v>4621</v>
      </c>
      <c r="B4626" s="3" t="str">
        <f>"00393037"</f>
        <v>00393037</v>
      </c>
    </row>
    <row r="4627" spans="1:2" x14ac:dyDescent="0.25">
      <c r="A4627" s="4">
        <v>4622</v>
      </c>
      <c r="B4627" s="3" t="str">
        <f>"00393046"</f>
        <v>00393046</v>
      </c>
    </row>
    <row r="4628" spans="1:2" x14ac:dyDescent="0.25">
      <c r="A4628" s="4">
        <v>4623</v>
      </c>
      <c r="B4628" s="3" t="str">
        <f>"00393134"</f>
        <v>00393134</v>
      </c>
    </row>
    <row r="4629" spans="1:2" x14ac:dyDescent="0.25">
      <c r="A4629" s="4">
        <v>4624</v>
      </c>
      <c r="B4629" s="3" t="str">
        <f>"00393135"</f>
        <v>00393135</v>
      </c>
    </row>
    <row r="4630" spans="1:2" x14ac:dyDescent="0.25">
      <c r="A4630" s="4">
        <v>4625</v>
      </c>
      <c r="B4630" s="3" t="str">
        <f>"00393153"</f>
        <v>00393153</v>
      </c>
    </row>
    <row r="4631" spans="1:2" x14ac:dyDescent="0.25">
      <c r="A4631" s="4">
        <v>4626</v>
      </c>
      <c r="B4631" s="3" t="str">
        <f>"00393210"</f>
        <v>00393210</v>
      </c>
    </row>
    <row r="4632" spans="1:2" x14ac:dyDescent="0.25">
      <c r="A4632" s="4">
        <v>4627</v>
      </c>
      <c r="B4632" s="3" t="str">
        <f>"00393248"</f>
        <v>00393248</v>
      </c>
    </row>
    <row r="4633" spans="1:2" x14ac:dyDescent="0.25">
      <c r="A4633" s="4">
        <v>4628</v>
      </c>
      <c r="B4633" s="3" t="str">
        <f>"00393299"</f>
        <v>00393299</v>
      </c>
    </row>
    <row r="4634" spans="1:2" x14ac:dyDescent="0.25">
      <c r="A4634" s="4">
        <v>4629</v>
      </c>
      <c r="B4634" s="3" t="str">
        <f>"00393335"</f>
        <v>00393335</v>
      </c>
    </row>
    <row r="4635" spans="1:2" x14ac:dyDescent="0.25">
      <c r="A4635" s="4">
        <v>4630</v>
      </c>
      <c r="B4635" s="3" t="str">
        <f>"00393418"</f>
        <v>00393418</v>
      </c>
    </row>
    <row r="4636" spans="1:2" x14ac:dyDescent="0.25">
      <c r="A4636" s="4">
        <v>4631</v>
      </c>
      <c r="B4636" s="3" t="str">
        <f>"00393464"</f>
        <v>00393464</v>
      </c>
    </row>
    <row r="4637" spans="1:2" x14ac:dyDescent="0.25">
      <c r="A4637" s="4">
        <v>4632</v>
      </c>
      <c r="B4637" s="3" t="str">
        <f>"00393469"</f>
        <v>00393469</v>
      </c>
    </row>
    <row r="4638" spans="1:2" x14ac:dyDescent="0.25">
      <c r="A4638" s="4">
        <v>4633</v>
      </c>
      <c r="B4638" s="3" t="str">
        <f>"00393531"</f>
        <v>00393531</v>
      </c>
    </row>
    <row r="4639" spans="1:2" x14ac:dyDescent="0.25">
      <c r="A4639" s="4">
        <v>4634</v>
      </c>
      <c r="B4639" s="3" t="str">
        <f>"00393548"</f>
        <v>00393548</v>
      </c>
    </row>
    <row r="4640" spans="1:2" x14ac:dyDescent="0.25">
      <c r="A4640" s="4">
        <v>4635</v>
      </c>
      <c r="B4640" s="3" t="str">
        <f>"00393575"</f>
        <v>00393575</v>
      </c>
    </row>
    <row r="4641" spans="1:2" x14ac:dyDescent="0.25">
      <c r="A4641" s="4">
        <v>4636</v>
      </c>
      <c r="B4641" s="3" t="str">
        <f>"00393617"</f>
        <v>00393617</v>
      </c>
    </row>
    <row r="4642" spans="1:2" x14ac:dyDescent="0.25">
      <c r="A4642" s="4">
        <v>4637</v>
      </c>
      <c r="B4642" s="3" t="str">
        <f>"00393664"</f>
        <v>00393664</v>
      </c>
    </row>
    <row r="4643" spans="1:2" x14ac:dyDescent="0.25">
      <c r="A4643" s="4">
        <v>4638</v>
      </c>
      <c r="B4643" s="3" t="str">
        <f>"00393737"</f>
        <v>00393737</v>
      </c>
    </row>
    <row r="4644" spans="1:2" x14ac:dyDescent="0.25">
      <c r="A4644" s="4">
        <v>4639</v>
      </c>
      <c r="B4644" s="3" t="str">
        <f>"00393796"</f>
        <v>00393796</v>
      </c>
    </row>
    <row r="4645" spans="1:2" x14ac:dyDescent="0.25">
      <c r="A4645" s="4">
        <v>4640</v>
      </c>
      <c r="B4645" s="3" t="str">
        <f>"00393840"</f>
        <v>00393840</v>
      </c>
    </row>
    <row r="4646" spans="1:2" x14ac:dyDescent="0.25">
      <c r="A4646" s="4">
        <v>4641</v>
      </c>
      <c r="B4646" s="3" t="str">
        <f>"00394021"</f>
        <v>00394021</v>
      </c>
    </row>
    <row r="4647" spans="1:2" x14ac:dyDescent="0.25">
      <c r="A4647" s="4">
        <v>4642</v>
      </c>
      <c r="B4647" s="3" t="str">
        <f>"00394132"</f>
        <v>00394132</v>
      </c>
    </row>
    <row r="4648" spans="1:2" x14ac:dyDescent="0.25">
      <c r="A4648" s="4">
        <v>4643</v>
      </c>
      <c r="B4648" s="3" t="str">
        <f>"00394147"</f>
        <v>00394147</v>
      </c>
    </row>
    <row r="4649" spans="1:2" x14ac:dyDescent="0.25">
      <c r="A4649" s="4">
        <v>4644</v>
      </c>
      <c r="B4649" s="3" t="str">
        <f>"00394166"</f>
        <v>00394166</v>
      </c>
    </row>
    <row r="4650" spans="1:2" x14ac:dyDescent="0.25">
      <c r="A4650" s="4">
        <v>4645</v>
      </c>
      <c r="B4650" s="3" t="str">
        <f>"00394253"</f>
        <v>00394253</v>
      </c>
    </row>
    <row r="4651" spans="1:2" x14ac:dyDescent="0.25">
      <c r="A4651" s="4">
        <v>4646</v>
      </c>
      <c r="B4651" s="3" t="str">
        <f>"00394288"</f>
        <v>00394288</v>
      </c>
    </row>
    <row r="4652" spans="1:2" x14ac:dyDescent="0.25">
      <c r="A4652" s="4">
        <v>4647</v>
      </c>
      <c r="B4652" s="3" t="str">
        <f>"00394361"</f>
        <v>00394361</v>
      </c>
    </row>
    <row r="4653" spans="1:2" x14ac:dyDescent="0.25">
      <c r="A4653" s="4">
        <v>4648</v>
      </c>
      <c r="B4653" s="3" t="str">
        <f>"00394408"</f>
        <v>00394408</v>
      </c>
    </row>
    <row r="4654" spans="1:2" x14ac:dyDescent="0.25">
      <c r="A4654" s="4">
        <v>4649</v>
      </c>
      <c r="B4654" s="3" t="str">
        <f>"00394442"</f>
        <v>00394442</v>
      </c>
    </row>
    <row r="4655" spans="1:2" x14ac:dyDescent="0.25">
      <c r="A4655" s="4">
        <v>4650</v>
      </c>
      <c r="B4655" s="3" t="str">
        <f>"00394541"</f>
        <v>00394541</v>
      </c>
    </row>
    <row r="4656" spans="1:2" x14ac:dyDescent="0.25">
      <c r="A4656" s="4">
        <v>4651</v>
      </c>
      <c r="B4656" s="3" t="str">
        <f>"00394550"</f>
        <v>00394550</v>
      </c>
    </row>
    <row r="4657" spans="1:2" x14ac:dyDescent="0.25">
      <c r="A4657" s="4">
        <v>4652</v>
      </c>
      <c r="B4657" s="3" t="str">
        <f>"00394553"</f>
        <v>00394553</v>
      </c>
    </row>
    <row r="4658" spans="1:2" x14ac:dyDescent="0.25">
      <c r="A4658" s="4">
        <v>4653</v>
      </c>
      <c r="B4658" s="3" t="str">
        <f>"00394565"</f>
        <v>00394565</v>
      </c>
    </row>
    <row r="4659" spans="1:2" x14ac:dyDescent="0.25">
      <c r="A4659" s="4">
        <v>4654</v>
      </c>
      <c r="B4659" s="3" t="str">
        <f>"00394583"</f>
        <v>00394583</v>
      </c>
    </row>
    <row r="4660" spans="1:2" x14ac:dyDescent="0.25">
      <c r="A4660" s="4">
        <v>4655</v>
      </c>
      <c r="B4660" s="3" t="str">
        <f>"00394686"</f>
        <v>00394686</v>
      </c>
    </row>
    <row r="4661" spans="1:2" x14ac:dyDescent="0.25">
      <c r="A4661" s="4">
        <v>4656</v>
      </c>
      <c r="B4661" s="3" t="str">
        <f>"00394721"</f>
        <v>00394721</v>
      </c>
    </row>
    <row r="4662" spans="1:2" x14ac:dyDescent="0.25">
      <c r="A4662" s="4">
        <v>4657</v>
      </c>
      <c r="B4662" s="3" t="str">
        <f>"00394813"</f>
        <v>00394813</v>
      </c>
    </row>
    <row r="4663" spans="1:2" x14ac:dyDescent="0.25">
      <c r="A4663" s="4">
        <v>4658</v>
      </c>
      <c r="B4663" s="3" t="str">
        <f>"00394965"</f>
        <v>00394965</v>
      </c>
    </row>
    <row r="4664" spans="1:2" x14ac:dyDescent="0.25">
      <c r="A4664" s="4">
        <v>4659</v>
      </c>
      <c r="B4664" s="3" t="str">
        <f>"00395042"</f>
        <v>00395042</v>
      </c>
    </row>
    <row r="4665" spans="1:2" x14ac:dyDescent="0.25">
      <c r="A4665" s="4">
        <v>4660</v>
      </c>
      <c r="B4665" s="3" t="str">
        <f>"00395060"</f>
        <v>00395060</v>
      </c>
    </row>
    <row r="4666" spans="1:2" x14ac:dyDescent="0.25">
      <c r="A4666" s="4">
        <v>4661</v>
      </c>
      <c r="B4666" s="3" t="str">
        <f>"00395076"</f>
        <v>00395076</v>
      </c>
    </row>
    <row r="4667" spans="1:2" x14ac:dyDescent="0.25">
      <c r="A4667" s="4">
        <v>4662</v>
      </c>
      <c r="B4667" s="3" t="str">
        <f>"00395081"</f>
        <v>00395081</v>
      </c>
    </row>
    <row r="4668" spans="1:2" x14ac:dyDescent="0.25">
      <c r="A4668" s="4">
        <v>4663</v>
      </c>
      <c r="B4668" s="3" t="str">
        <f>"00395107"</f>
        <v>00395107</v>
      </c>
    </row>
    <row r="4669" spans="1:2" x14ac:dyDescent="0.25">
      <c r="A4669" s="4">
        <v>4664</v>
      </c>
      <c r="B4669" s="3" t="str">
        <f>"00395113"</f>
        <v>00395113</v>
      </c>
    </row>
    <row r="4670" spans="1:2" x14ac:dyDescent="0.25">
      <c r="A4670" s="4">
        <v>4665</v>
      </c>
      <c r="B4670" s="3" t="str">
        <f>"00395183"</f>
        <v>00395183</v>
      </c>
    </row>
    <row r="4671" spans="1:2" x14ac:dyDescent="0.25">
      <c r="A4671" s="4">
        <v>4666</v>
      </c>
      <c r="B4671" s="3" t="str">
        <f>"00395215"</f>
        <v>00395215</v>
      </c>
    </row>
    <row r="4672" spans="1:2" x14ac:dyDescent="0.25">
      <c r="A4672" s="4">
        <v>4667</v>
      </c>
      <c r="B4672" s="3" t="str">
        <f>"00395372"</f>
        <v>00395372</v>
      </c>
    </row>
    <row r="4673" spans="1:2" x14ac:dyDescent="0.25">
      <c r="A4673" s="4">
        <v>4668</v>
      </c>
      <c r="B4673" s="3" t="str">
        <f>"00395447"</f>
        <v>00395447</v>
      </c>
    </row>
    <row r="4674" spans="1:2" x14ac:dyDescent="0.25">
      <c r="A4674" s="4">
        <v>4669</v>
      </c>
      <c r="B4674" s="3" t="str">
        <f>"00395553"</f>
        <v>00395553</v>
      </c>
    </row>
    <row r="4675" spans="1:2" x14ac:dyDescent="0.25">
      <c r="A4675" s="4">
        <v>4670</v>
      </c>
      <c r="B4675" s="3" t="str">
        <f>"00395613"</f>
        <v>00395613</v>
      </c>
    </row>
    <row r="4676" spans="1:2" x14ac:dyDescent="0.25">
      <c r="A4676" s="4">
        <v>4671</v>
      </c>
      <c r="B4676" s="3" t="str">
        <f>"00395633"</f>
        <v>00395633</v>
      </c>
    </row>
    <row r="4677" spans="1:2" x14ac:dyDescent="0.25">
      <c r="A4677" s="4">
        <v>4672</v>
      </c>
      <c r="B4677" s="3" t="str">
        <f>"00395820"</f>
        <v>00395820</v>
      </c>
    </row>
    <row r="4678" spans="1:2" x14ac:dyDescent="0.25">
      <c r="A4678" s="4">
        <v>4673</v>
      </c>
      <c r="B4678" s="3" t="str">
        <f>"00395902"</f>
        <v>00395902</v>
      </c>
    </row>
    <row r="4679" spans="1:2" x14ac:dyDescent="0.25">
      <c r="A4679" s="4">
        <v>4674</v>
      </c>
      <c r="B4679" s="3" t="str">
        <f>"00395974"</f>
        <v>00395974</v>
      </c>
    </row>
    <row r="4680" spans="1:2" x14ac:dyDescent="0.25">
      <c r="A4680" s="4">
        <v>4675</v>
      </c>
      <c r="B4680" s="3" t="str">
        <f>"00395978"</f>
        <v>00395978</v>
      </c>
    </row>
    <row r="4681" spans="1:2" x14ac:dyDescent="0.25">
      <c r="A4681" s="4">
        <v>4676</v>
      </c>
      <c r="B4681" s="3" t="str">
        <f>"00396009"</f>
        <v>00396009</v>
      </c>
    </row>
    <row r="4682" spans="1:2" x14ac:dyDescent="0.25">
      <c r="A4682" s="4">
        <v>4677</v>
      </c>
      <c r="B4682" s="3" t="str">
        <f>"00396065"</f>
        <v>00396065</v>
      </c>
    </row>
    <row r="4683" spans="1:2" x14ac:dyDescent="0.25">
      <c r="A4683" s="4">
        <v>4678</v>
      </c>
      <c r="B4683" s="3" t="str">
        <f>"00396088"</f>
        <v>00396088</v>
      </c>
    </row>
    <row r="4684" spans="1:2" x14ac:dyDescent="0.25">
      <c r="A4684" s="4">
        <v>4679</v>
      </c>
      <c r="B4684" s="3" t="str">
        <f>"00396109"</f>
        <v>00396109</v>
      </c>
    </row>
    <row r="4685" spans="1:2" x14ac:dyDescent="0.25">
      <c r="A4685" s="4">
        <v>4680</v>
      </c>
      <c r="B4685" s="3" t="str">
        <f>"00396112"</f>
        <v>00396112</v>
      </c>
    </row>
    <row r="4686" spans="1:2" x14ac:dyDescent="0.25">
      <c r="A4686" s="4">
        <v>4681</v>
      </c>
      <c r="B4686" s="3" t="str">
        <f>"00396252"</f>
        <v>00396252</v>
      </c>
    </row>
    <row r="4687" spans="1:2" x14ac:dyDescent="0.25">
      <c r="A4687" s="4">
        <v>4682</v>
      </c>
      <c r="B4687" s="3" t="str">
        <f>"00396288"</f>
        <v>00396288</v>
      </c>
    </row>
    <row r="4688" spans="1:2" x14ac:dyDescent="0.25">
      <c r="A4688" s="4">
        <v>4683</v>
      </c>
      <c r="B4688" s="3" t="str">
        <f>"00396399"</f>
        <v>00396399</v>
      </c>
    </row>
    <row r="4689" spans="1:2" x14ac:dyDescent="0.25">
      <c r="A4689" s="4">
        <v>4684</v>
      </c>
      <c r="B4689" s="3" t="str">
        <f>"00396414"</f>
        <v>00396414</v>
      </c>
    </row>
    <row r="4690" spans="1:2" x14ac:dyDescent="0.25">
      <c r="A4690" s="4">
        <v>4685</v>
      </c>
      <c r="B4690" s="3" t="str">
        <f>"00396418"</f>
        <v>00396418</v>
      </c>
    </row>
    <row r="4691" spans="1:2" x14ac:dyDescent="0.25">
      <c r="A4691" s="4">
        <v>4686</v>
      </c>
      <c r="B4691" s="3" t="str">
        <f>"00396452"</f>
        <v>00396452</v>
      </c>
    </row>
    <row r="4692" spans="1:2" x14ac:dyDescent="0.25">
      <c r="A4692" s="4">
        <v>4687</v>
      </c>
      <c r="B4692" s="3" t="str">
        <f>"00396483"</f>
        <v>00396483</v>
      </c>
    </row>
    <row r="4693" spans="1:2" x14ac:dyDescent="0.25">
      <c r="A4693" s="4">
        <v>4688</v>
      </c>
      <c r="B4693" s="3" t="str">
        <f>"00396530"</f>
        <v>00396530</v>
      </c>
    </row>
    <row r="4694" spans="1:2" x14ac:dyDescent="0.25">
      <c r="A4694" s="4">
        <v>4689</v>
      </c>
      <c r="B4694" s="3" t="str">
        <f>"00396544"</f>
        <v>00396544</v>
      </c>
    </row>
    <row r="4695" spans="1:2" x14ac:dyDescent="0.25">
      <c r="A4695" s="4">
        <v>4690</v>
      </c>
      <c r="B4695" s="3" t="str">
        <f>"00396625"</f>
        <v>00396625</v>
      </c>
    </row>
    <row r="4696" spans="1:2" x14ac:dyDescent="0.25">
      <c r="A4696" s="4">
        <v>4691</v>
      </c>
      <c r="B4696" s="3" t="str">
        <f>"00396672"</f>
        <v>00396672</v>
      </c>
    </row>
    <row r="4697" spans="1:2" x14ac:dyDescent="0.25">
      <c r="A4697" s="4">
        <v>4692</v>
      </c>
      <c r="B4697" s="3" t="str">
        <f>"00396779"</f>
        <v>00396779</v>
      </c>
    </row>
    <row r="4698" spans="1:2" x14ac:dyDescent="0.25">
      <c r="A4698" s="4">
        <v>4693</v>
      </c>
      <c r="B4698" s="3" t="str">
        <f>"00396781"</f>
        <v>00396781</v>
      </c>
    </row>
    <row r="4699" spans="1:2" x14ac:dyDescent="0.25">
      <c r="A4699" s="4">
        <v>4694</v>
      </c>
      <c r="B4699" s="3" t="str">
        <f>"00396867"</f>
        <v>00396867</v>
      </c>
    </row>
    <row r="4700" spans="1:2" x14ac:dyDescent="0.25">
      <c r="A4700" s="4">
        <v>4695</v>
      </c>
      <c r="B4700" s="3" t="str">
        <f>"00396873"</f>
        <v>00396873</v>
      </c>
    </row>
    <row r="4701" spans="1:2" x14ac:dyDescent="0.25">
      <c r="A4701" s="4">
        <v>4696</v>
      </c>
      <c r="B4701" s="3" t="str">
        <f>"00396882"</f>
        <v>00396882</v>
      </c>
    </row>
    <row r="4702" spans="1:2" x14ac:dyDescent="0.25">
      <c r="A4702" s="4">
        <v>4697</v>
      </c>
      <c r="B4702" s="3" t="str">
        <f>"00397006"</f>
        <v>00397006</v>
      </c>
    </row>
    <row r="4703" spans="1:2" x14ac:dyDescent="0.25">
      <c r="A4703" s="4">
        <v>4698</v>
      </c>
      <c r="B4703" s="3" t="str">
        <f>"00397032"</f>
        <v>00397032</v>
      </c>
    </row>
    <row r="4704" spans="1:2" x14ac:dyDescent="0.25">
      <c r="A4704" s="4">
        <v>4699</v>
      </c>
      <c r="B4704" s="3" t="str">
        <f>"00397054"</f>
        <v>00397054</v>
      </c>
    </row>
    <row r="4705" spans="1:2" x14ac:dyDescent="0.25">
      <c r="A4705" s="4">
        <v>4700</v>
      </c>
      <c r="B4705" s="3" t="str">
        <f>"00397074"</f>
        <v>00397074</v>
      </c>
    </row>
    <row r="4706" spans="1:2" x14ac:dyDescent="0.25">
      <c r="A4706" s="4">
        <v>4701</v>
      </c>
      <c r="B4706" s="3" t="str">
        <f>"00397086"</f>
        <v>00397086</v>
      </c>
    </row>
    <row r="4707" spans="1:2" x14ac:dyDescent="0.25">
      <c r="A4707" s="4">
        <v>4702</v>
      </c>
      <c r="B4707" s="3" t="str">
        <f>"00397146"</f>
        <v>00397146</v>
      </c>
    </row>
    <row r="4708" spans="1:2" x14ac:dyDescent="0.25">
      <c r="A4708" s="4">
        <v>4703</v>
      </c>
      <c r="B4708" s="3" t="str">
        <f>"00397147"</f>
        <v>00397147</v>
      </c>
    </row>
    <row r="4709" spans="1:2" x14ac:dyDescent="0.25">
      <c r="A4709" s="4">
        <v>4704</v>
      </c>
      <c r="B4709" s="3" t="str">
        <f>"00397169"</f>
        <v>00397169</v>
      </c>
    </row>
    <row r="4710" spans="1:2" x14ac:dyDescent="0.25">
      <c r="A4710" s="4">
        <v>4705</v>
      </c>
      <c r="B4710" s="3" t="str">
        <f>"00397215"</f>
        <v>00397215</v>
      </c>
    </row>
    <row r="4711" spans="1:2" x14ac:dyDescent="0.25">
      <c r="A4711" s="4">
        <v>4706</v>
      </c>
      <c r="B4711" s="3" t="str">
        <f>"00397233"</f>
        <v>00397233</v>
      </c>
    </row>
    <row r="4712" spans="1:2" x14ac:dyDescent="0.25">
      <c r="A4712" s="4">
        <v>4707</v>
      </c>
      <c r="B4712" s="3" t="str">
        <f>"00397243"</f>
        <v>00397243</v>
      </c>
    </row>
    <row r="4713" spans="1:2" x14ac:dyDescent="0.25">
      <c r="A4713" s="4">
        <v>4708</v>
      </c>
      <c r="B4713" s="3" t="str">
        <f>"00397257"</f>
        <v>00397257</v>
      </c>
    </row>
    <row r="4714" spans="1:2" x14ac:dyDescent="0.25">
      <c r="A4714" s="4">
        <v>4709</v>
      </c>
      <c r="B4714" s="3" t="str">
        <f>"00397262"</f>
        <v>00397262</v>
      </c>
    </row>
    <row r="4715" spans="1:2" x14ac:dyDescent="0.25">
      <c r="A4715" s="4">
        <v>4710</v>
      </c>
      <c r="B4715" s="3" t="str">
        <f>"00397276"</f>
        <v>00397276</v>
      </c>
    </row>
    <row r="4716" spans="1:2" x14ac:dyDescent="0.25">
      <c r="A4716" s="4">
        <v>4711</v>
      </c>
      <c r="B4716" s="3" t="str">
        <f>"00397285"</f>
        <v>00397285</v>
      </c>
    </row>
    <row r="4717" spans="1:2" x14ac:dyDescent="0.25">
      <c r="A4717" s="4">
        <v>4712</v>
      </c>
      <c r="B4717" s="3" t="str">
        <f>"00397353"</f>
        <v>00397353</v>
      </c>
    </row>
    <row r="4718" spans="1:2" x14ac:dyDescent="0.25">
      <c r="A4718" s="4">
        <v>4713</v>
      </c>
      <c r="B4718" s="3" t="str">
        <f>"00397618"</f>
        <v>00397618</v>
      </c>
    </row>
    <row r="4719" spans="1:2" x14ac:dyDescent="0.25">
      <c r="A4719" s="4">
        <v>4714</v>
      </c>
      <c r="B4719" s="3" t="str">
        <f>"00397686"</f>
        <v>00397686</v>
      </c>
    </row>
    <row r="4720" spans="1:2" x14ac:dyDescent="0.25">
      <c r="A4720" s="4">
        <v>4715</v>
      </c>
      <c r="B4720" s="3" t="str">
        <f>"00397734"</f>
        <v>00397734</v>
      </c>
    </row>
    <row r="4721" spans="1:2" x14ac:dyDescent="0.25">
      <c r="A4721" s="4">
        <v>4716</v>
      </c>
      <c r="B4721" s="3" t="str">
        <f>"00397812"</f>
        <v>00397812</v>
      </c>
    </row>
    <row r="4722" spans="1:2" x14ac:dyDescent="0.25">
      <c r="A4722" s="4">
        <v>4717</v>
      </c>
      <c r="B4722" s="3" t="str">
        <f>"00397832"</f>
        <v>00397832</v>
      </c>
    </row>
    <row r="4723" spans="1:2" x14ac:dyDescent="0.25">
      <c r="A4723" s="4">
        <v>4718</v>
      </c>
      <c r="B4723" s="3" t="str">
        <f>"00397845"</f>
        <v>00397845</v>
      </c>
    </row>
    <row r="4724" spans="1:2" x14ac:dyDescent="0.25">
      <c r="A4724" s="4">
        <v>4719</v>
      </c>
      <c r="B4724" s="3" t="str">
        <f>"00397850"</f>
        <v>00397850</v>
      </c>
    </row>
    <row r="4725" spans="1:2" x14ac:dyDescent="0.25">
      <c r="A4725" s="4">
        <v>4720</v>
      </c>
      <c r="B4725" s="3" t="str">
        <f>"00397875"</f>
        <v>00397875</v>
      </c>
    </row>
    <row r="4726" spans="1:2" x14ac:dyDescent="0.25">
      <c r="A4726" s="4">
        <v>4721</v>
      </c>
      <c r="B4726" s="3" t="str">
        <f>"00397957"</f>
        <v>00397957</v>
      </c>
    </row>
    <row r="4727" spans="1:2" x14ac:dyDescent="0.25">
      <c r="A4727" s="4">
        <v>4722</v>
      </c>
      <c r="B4727" s="3" t="str">
        <f>"00397977"</f>
        <v>00397977</v>
      </c>
    </row>
    <row r="4728" spans="1:2" x14ac:dyDescent="0.25">
      <c r="A4728" s="4">
        <v>4723</v>
      </c>
      <c r="B4728" s="3" t="str">
        <f>"00397992"</f>
        <v>00397992</v>
      </c>
    </row>
    <row r="4729" spans="1:2" x14ac:dyDescent="0.25">
      <c r="A4729" s="4">
        <v>4724</v>
      </c>
      <c r="B4729" s="3" t="str">
        <f>"00398008"</f>
        <v>00398008</v>
      </c>
    </row>
    <row r="4730" spans="1:2" x14ac:dyDescent="0.25">
      <c r="A4730" s="4">
        <v>4725</v>
      </c>
      <c r="B4730" s="3" t="str">
        <f>"00398176"</f>
        <v>00398176</v>
      </c>
    </row>
    <row r="4731" spans="1:2" x14ac:dyDescent="0.25">
      <c r="A4731" s="4">
        <v>4726</v>
      </c>
      <c r="B4731" s="3" t="str">
        <f>"00398187"</f>
        <v>00398187</v>
      </c>
    </row>
    <row r="4732" spans="1:2" x14ac:dyDescent="0.25">
      <c r="A4732" s="4">
        <v>4727</v>
      </c>
      <c r="B4732" s="3" t="str">
        <f>"00398215"</f>
        <v>00398215</v>
      </c>
    </row>
    <row r="4733" spans="1:2" x14ac:dyDescent="0.25">
      <c r="A4733" s="4">
        <v>4728</v>
      </c>
      <c r="B4733" s="3" t="str">
        <f>"00398218"</f>
        <v>00398218</v>
      </c>
    </row>
    <row r="4734" spans="1:2" x14ac:dyDescent="0.25">
      <c r="A4734" s="4">
        <v>4729</v>
      </c>
      <c r="B4734" s="3" t="str">
        <f>"00398273"</f>
        <v>00398273</v>
      </c>
    </row>
    <row r="4735" spans="1:2" x14ac:dyDescent="0.25">
      <c r="A4735" s="4">
        <v>4730</v>
      </c>
      <c r="B4735" s="3" t="str">
        <f>"00398300"</f>
        <v>00398300</v>
      </c>
    </row>
    <row r="4736" spans="1:2" x14ac:dyDescent="0.25">
      <c r="A4736" s="4">
        <v>4731</v>
      </c>
      <c r="B4736" s="3" t="str">
        <f>"00398303"</f>
        <v>00398303</v>
      </c>
    </row>
    <row r="4737" spans="1:2" x14ac:dyDescent="0.25">
      <c r="A4737" s="4">
        <v>4732</v>
      </c>
      <c r="B4737" s="3" t="str">
        <f>"00398342"</f>
        <v>00398342</v>
      </c>
    </row>
    <row r="4738" spans="1:2" x14ac:dyDescent="0.25">
      <c r="A4738" s="4">
        <v>4733</v>
      </c>
      <c r="B4738" s="3" t="str">
        <f>"00398384"</f>
        <v>00398384</v>
      </c>
    </row>
    <row r="4739" spans="1:2" x14ac:dyDescent="0.25">
      <c r="A4739" s="4">
        <v>4734</v>
      </c>
      <c r="B4739" s="3" t="str">
        <f>"00398400"</f>
        <v>00398400</v>
      </c>
    </row>
    <row r="4740" spans="1:2" x14ac:dyDescent="0.25">
      <c r="A4740" s="4">
        <v>4735</v>
      </c>
      <c r="B4740" s="3" t="str">
        <f>"00398411"</f>
        <v>00398411</v>
      </c>
    </row>
    <row r="4741" spans="1:2" x14ac:dyDescent="0.25">
      <c r="A4741" s="4">
        <v>4736</v>
      </c>
      <c r="B4741" s="3" t="str">
        <f>"00398524"</f>
        <v>00398524</v>
      </c>
    </row>
    <row r="4742" spans="1:2" x14ac:dyDescent="0.25">
      <c r="A4742" s="4">
        <v>4737</v>
      </c>
      <c r="B4742" s="3" t="str">
        <f>"00398532"</f>
        <v>00398532</v>
      </c>
    </row>
    <row r="4743" spans="1:2" x14ac:dyDescent="0.25">
      <c r="A4743" s="4">
        <v>4738</v>
      </c>
      <c r="B4743" s="3" t="str">
        <f>"00398561"</f>
        <v>00398561</v>
      </c>
    </row>
    <row r="4744" spans="1:2" x14ac:dyDescent="0.25">
      <c r="A4744" s="4">
        <v>4739</v>
      </c>
      <c r="B4744" s="3" t="str">
        <f>"00398572"</f>
        <v>00398572</v>
      </c>
    </row>
    <row r="4745" spans="1:2" x14ac:dyDescent="0.25">
      <c r="A4745" s="4">
        <v>4740</v>
      </c>
      <c r="B4745" s="3" t="str">
        <f>"00398619"</f>
        <v>00398619</v>
      </c>
    </row>
    <row r="4746" spans="1:2" x14ac:dyDescent="0.25">
      <c r="A4746" s="4">
        <v>4741</v>
      </c>
      <c r="B4746" s="3" t="str">
        <f>"00398656"</f>
        <v>00398656</v>
      </c>
    </row>
    <row r="4747" spans="1:2" x14ac:dyDescent="0.25">
      <c r="A4747" s="4">
        <v>4742</v>
      </c>
      <c r="B4747" s="3" t="str">
        <f>"00398663"</f>
        <v>00398663</v>
      </c>
    </row>
    <row r="4748" spans="1:2" x14ac:dyDescent="0.25">
      <c r="A4748" s="4">
        <v>4743</v>
      </c>
      <c r="B4748" s="3" t="str">
        <f>"00398706"</f>
        <v>00398706</v>
      </c>
    </row>
    <row r="4749" spans="1:2" x14ac:dyDescent="0.25">
      <c r="A4749" s="4">
        <v>4744</v>
      </c>
      <c r="B4749" s="3" t="str">
        <f>"00398724"</f>
        <v>00398724</v>
      </c>
    </row>
    <row r="4750" spans="1:2" x14ac:dyDescent="0.25">
      <c r="A4750" s="4">
        <v>4745</v>
      </c>
      <c r="B4750" s="3" t="str">
        <f>"00398740"</f>
        <v>00398740</v>
      </c>
    </row>
    <row r="4751" spans="1:2" x14ac:dyDescent="0.25">
      <c r="A4751" s="4">
        <v>4746</v>
      </c>
      <c r="B4751" s="3" t="str">
        <f>"00398754"</f>
        <v>00398754</v>
      </c>
    </row>
    <row r="4752" spans="1:2" x14ac:dyDescent="0.25">
      <c r="A4752" s="4">
        <v>4747</v>
      </c>
      <c r="B4752" s="3" t="str">
        <f>"00398835"</f>
        <v>00398835</v>
      </c>
    </row>
    <row r="4753" spans="1:2" x14ac:dyDescent="0.25">
      <c r="A4753" s="4">
        <v>4748</v>
      </c>
      <c r="B4753" s="3" t="str">
        <f>"00398843"</f>
        <v>00398843</v>
      </c>
    </row>
    <row r="4754" spans="1:2" x14ac:dyDescent="0.25">
      <c r="A4754" s="4">
        <v>4749</v>
      </c>
      <c r="B4754" s="3" t="str">
        <f>"00398900"</f>
        <v>00398900</v>
      </c>
    </row>
    <row r="4755" spans="1:2" x14ac:dyDescent="0.25">
      <c r="A4755" s="4">
        <v>4750</v>
      </c>
      <c r="B4755" s="3" t="str">
        <f>"00398908"</f>
        <v>00398908</v>
      </c>
    </row>
    <row r="4756" spans="1:2" x14ac:dyDescent="0.25">
      <c r="A4756" s="4">
        <v>4751</v>
      </c>
      <c r="B4756" s="3" t="str">
        <f>"00398936"</f>
        <v>00398936</v>
      </c>
    </row>
    <row r="4757" spans="1:2" x14ac:dyDescent="0.25">
      <c r="A4757" s="4">
        <v>4752</v>
      </c>
      <c r="B4757" s="3" t="str">
        <f>"00399157"</f>
        <v>00399157</v>
      </c>
    </row>
    <row r="4758" spans="1:2" x14ac:dyDescent="0.25">
      <c r="A4758" s="4">
        <v>4753</v>
      </c>
      <c r="B4758" s="3" t="str">
        <f>"00399173"</f>
        <v>00399173</v>
      </c>
    </row>
    <row r="4759" spans="1:2" x14ac:dyDescent="0.25">
      <c r="A4759" s="4">
        <v>4754</v>
      </c>
      <c r="B4759" s="3" t="str">
        <f>"00399177"</f>
        <v>00399177</v>
      </c>
    </row>
    <row r="4760" spans="1:2" x14ac:dyDescent="0.25">
      <c r="A4760" s="4">
        <v>4755</v>
      </c>
      <c r="B4760" s="3" t="str">
        <f>"00399223"</f>
        <v>00399223</v>
      </c>
    </row>
    <row r="4761" spans="1:2" x14ac:dyDescent="0.25">
      <c r="A4761" s="4">
        <v>4756</v>
      </c>
      <c r="B4761" s="3" t="str">
        <f>"00399270"</f>
        <v>00399270</v>
      </c>
    </row>
    <row r="4762" spans="1:2" x14ac:dyDescent="0.25">
      <c r="A4762" s="4">
        <v>4757</v>
      </c>
      <c r="B4762" s="3" t="str">
        <f>"00399381"</f>
        <v>00399381</v>
      </c>
    </row>
    <row r="4763" spans="1:2" x14ac:dyDescent="0.25">
      <c r="A4763" s="4">
        <v>4758</v>
      </c>
      <c r="B4763" s="3" t="str">
        <f>"00399393"</f>
        <v>00399393</v>
      </c>
    </row>
    <row r="4764" spans="1:2" x14ac:dyDescent="0.25">
      <c r="A4764" s="4">
        <v>4759</v>
      </c>
      <c r="B4764" s="3" t="str">
        <f>"00399429"</f>
        <v>00399429</v>
      </c>
    </row>
    <row r="4765" spans="1:2" x14ac:dyDescent="0.25">
      <c r="A4765" s="4">
        <v>4760</v>
      </c>
      <c r="B4765" s="3" t="str">
        <f>"00399443"</f>
        <v>00399443</v>
      </c>
    </row>
    <row r="4766" spans="1:2" x14ac:dyDescent="0.25">
      <c r="A4766" s="4">
        <v>4761</v>
      </c>
      <c r="B4766" s="3" t="str">
        <f>"00399537"</f>
        <v>00399537</v>
      </c>
    </row>
    <row r="4767" spans="1:2" x14ac:dyDescent="0.25">
      <c r="A4767" s="4">
        <v>4762</v>
      </c>
      <c r="B4767" s="3" t="str">
        <f>"00399613"</f>
        <v>00399613</v>
      </c>
    </row>
    <row r="4768" spans="1:2" x14ac:dyDescent="0.25">
      <c r="A4768" s="4">
        <v>4763</v>
      </c>
      <c r="B4768" s="3" t="str">
        <f>"00399625"</f>
        <v>00399625</v>
      </c>
    </row>
    <row r="4769" spans="1:2" x14ac:dyDescent="0.25">
      <c r="A4769" s="4">
        <v>4764</v>
      </c>
      <c r="B4769" s="3" t="str">
        <f>"00399653"</f>
        <v>00399653</v>
      </c>
    </row>
    <row r="4770" spans="1:2" x14ac:dyDescent="0.25">
      <c r="A4770" s="4">
        <v>4765</v>
      </c>
      <c r="B4770" s="3" t="str">
        <f>"00399673"</f>
        <v>00399673</v>
      </c>
    </row>
    <row r="4771" spans="1:2" x14ac:dyDescent="0.25">
      <c r="A4771" s="4">
        <v>4766</v>
      </c>
      <c r="B4771" s="3" t="str">
        <f>"00399775"</f>
        <v>00399775</v>
      </c>
    </row>
    <row r="4772" spans="1:2" x14ac:dyDescent="0.25">
      <c r="A4772" s="4">
        <v>4767</v>
      </c>
      <c r="B4772" s="3" t="str">
        <f>"00399850"</f>
        <v>00399850</v>
      </c>
    </row>
    <row r="4773" spans="1:2" x14ac:dyDescent="0.25">
      <c r="A4773" s="4">
        <v>4768</v>
      </c>
      <c r="B4773" s="3" t="str">
        <f>"00399879"</f>
        <v>00399879</v>
      </c>
    </row>
    <row r="4774" spans="1:2" x14ac:dyDescent="0.25">
      <c r="A4774" s="4">
        <v>4769</v>
      </c>
      <c r="B4774" s="3" t="str">
        <f>"00399893"</f>
        <v>00399893</v>
      </c>
    </row>
    <row r="4775" spans="1:2" x14ac:dyDescent="0.25">
      <c r="A4775" s="4">
        <v>4770</v>
      </c>
      <c r="B4775" s="3" t="str">
        <f>"00399895"</f>
        <v>00399895</v>
      </c>
    </row>
    <row r="4776" spans="1:2" x14ac:dyDescent="0.25">
      <c r="A4776" s="4">
        <v>4771</v>
      </c>
      <c r="B4776" s="3" t="str">
        <f>"00399990"</f>
        <v>00399990</v>
      </c>
    </row>
    <row r="4777" spans="1:2" x14ac:dyDescent="0.25">
      <c r="A4777" s="4">
        <v>4772</v>
      </c>
      <c r="B4777" s="3" t="str">
        <f>"00400009"</f>
        <v>00400009</v>
      </c>
    </row>
    <row r="4778" spans="1:2" x14ac:dyDescent="0.25">
      <c r="A4778" s="4">
        <v>4773</v>
      </c>
      <c r="B4778" s="3" t="str">
        <f>"00400083"</f>
        <v>00400083</v>
      </c>
    </row>
    <row r="4779" spans="1:2" x14ac:dyDescent="0.25">
      <c r="A4779" s="4">
        <v>4774</v>
      </c>
      <c r="B4779" s="3" t="str">
        <f>"00400086"</f>
        <v>00400086</v>
      </c>
    </row>
    <row r="4780" spans="1:2" x14ac:dyDescent="0.25">
      <c r="A4780" s="4">
        <v>4775</v>
      </c>
      <c r="B4780" s="3" t="str">
        <f>"00400088"</f>
        <v>00400088</v>
      </c>
    </row>
    <row r="4781" spans="1:2" x14ac:dyDescent="0.25">
      <c r="A4781" s="4">
        <v>4776</v>
      </c>
      <c r="B4781" s="3" t="str">
        <f>"00400095"</f>
        <v>00400095</v>
      </c>
    </row>
    <row r="4782" spans="1:2" x14ac:dyDescent="0.25">
      <c r="A4782" s="4">
        <v>4777</v>
      </c>
      <c r="B4782" s="3" t="str">
        <f>"00400166"</f>
        <v>00400166</v>
      </c>
    </row>
    <row r="4783" spans="1:2" x14ac:dyDescent="0.25">
      <c r="A4783" s="4">
        <v>4778</v>
      </c>
      <c r="B4783" s="3" t="str">
        <f>"00400264"</f>
        <v>00400264</v>
      </c>
    </row>
    <row r="4784" spans="1:2" x14ac:dyDescent="0.25">
      <c r="A4784" s="4">
        <v>4779</v>
      </c>
      <c r="B4784" s="3" t="str">
        <f>"00400266"</f>
        <v>00400266</v>
      </c>
    </row>
    <row r="4785" spans="1:2" x14ac:dyDescent="0.25">
      <c r="A4785" s="4">
        <v>4780</v>
      </c>
      <c r="B4785" s="3" t="str">
        <f>"00400306"</f>
        <v>00400306</v>
      </c>
    </row>
    <row r="4786" spans="1:2" x14ac:dyDescent="0.25">
      <c r="A4786" s="4">
        <v>4781</v>
      </c>
      <c r="B4786" s="3" t="str">
        <f>"00400330"</f>
        <v>00400330</v>
      </c>
    </row>
    <row r="4787" spans="1:2" x14ac:dyDescent="0.25">
      <c r="A4787" s="4">
        <v>4782</v>
      </c>
      <c r="B4787" s="3" t="str">
        <f>"00400339"</f>
        <v>00400339</v>
      </c>
    </row>
    <row r="4788" spans="1:2" x14ac:dyDescent="0.25">
      <c r="A4788" s="4">
        <v>4783</v>
      </c>
      <c r="B4788" s="3" t="str">
        <f>"00400374"</f>
        <v>00400374</v>
      </c>
    </row>
    <row r="4789" spans="1:2" x14ac:dyDescent="0.25">
      <c r="A4789" s="4">
        <v>4784</v>
      </c>
      <c r="B4789" s="3" t="str">
        <f>"00400407"</f>
        <v>00400407</v>
      </c>
    </row>
    <row r="4790" spans="1:2" x14ac:dyDescent="0.25">
      <c r="A4790" s="4">
        <v>4785</v>
      </c>
      <c r="B4790" s="3" t="str">
        <f>"00400421"</f>
        <v>00400421</v>
      </c>
    </row>
    <row r="4791" spans="1:2" x14ac:dyDescent="0.25">
      <c r="A4791" s="4">
        <v>4786</v>
      </c>
      <c r="B4791" s="3" t="str">
        <f>"00400422"</f>
        <v>00400422</v>
      </c>
    </row>
    <row r="4792" spans="1:2" x14ac:dyDescent="0.25">
      <c r="A4792" s="4">
        <v>4787</v>
      </c>
      <c r="B4792" s="3" t="str">
        <f>"00400429"</f>
        <v>00400429</v>
      </c>
    </row>
    <row r="4793" spans="1:2" x14ac:dyDescent="0.25">
      <c r="A4793" s="4">
        <v>4788</v>
      </c>
      <c r="B4793" s="3" t="str">
        <f>"00400437"</f>
        <v>00400437</v>
      </c>
    </row>
    <row r="4794" spans="1:2" x14ac:dyDescent="0.25">
      <c r="A4794" s="4">
        <v>4789</v>
      </c>
      <c r="B4794" s="3" t="str">
        <f>"00400443"</f>
        <v>00400443</v>
      </c>
    </row>
    <row r="4795" spans="1:2" x14ac:dyDescent="0.25">
      <c r="A4795" s="4">
        <v>4790</v>
      </c>
      <c r="B4795" s="3" t="str">
        <f>"00400503"</f>
        <v>00400503</v>
      </c>
    </row>
    <row r="4796" spans="1:2" x14ac:dyDescent="0.25">
      <c r="A4796" s="4">
        <v>4791</v>
      </c>
      <c r="B4796" s="3" t="str">
        <f>"00400526"</f>
        <v>00400526</v>
      </c>
    </row>
    <row r="4797" spans="1:2" x14ac:dyDescent="0.25">
      <c r="A4797" s="4">
        <v>4792</v>
      </c>
      <c r="B4797" s="3" t="str">
        <f>"00400573"</f>
        <v>00400573</v>
      </c>
    </row>
    <row r="4798" spans="1:2" x14ac:dyDescent="0.25">
      <c r="A4798" s="4">
        <v>4793</v>
      </c>
      <c r="B4798" s="3" t="str">
        <f>"00400595"</f>
        <v>00400595</v>
      </c>
    </row>
    <row r="4799" spans="1:2" x14ac:dyDescent="0.25">
      <c r="A4799" s="4">
        <v>4794</v>
      </c>
      <c r="B4799" s="3" t="str">
        <f>"00400617"</f>
        <v>00400617</v>
      </c>
    </row>
    <row r="4800" spans="1:2" x14ac:dyDescent="0.25">
      <c r="A4800" s="4">
        <v>4795</v>
      </c>
      <c r="B4800" s="3" t="str">
        <f>"00400658"</f>
        <v>00400658</v>
      </c>
    </row>
    <row r="4801" spans="1:2" x14ac:dyDescent="0.25">
      <c r="A4801" s="4">
        <v>4796</v>
      </c>
      <c r="B4801" s="3" t="str">
        <f>"00400664"</f>
        <v>00400664</v>
      </c>
    </row>
    <row r="4802" spans="1:2" x14ac:dyDescent="0.25">
      <c r="A4802" s="4">
        <v>4797</v>
      </c>
      <c r="B4802" s="3" t="str">
        <f>"00400681"</f>
        <v>00400681</v>
      </c>
    </row>
    <row r="4803" spans="1:2" x14ac:dyDescent="0.25">
      <c r="A4803" s="4">
        <v>4798</v>
      </c>
      <c r="B4803" s="3" t="str">
        <f>"00400695"</f>
        <v>00400695</v>
      </c>
    </row>
    <row r="4804" spans="1:2" x14ac:dyDescent="0.25">
      <c r="A4804" s="4">
        <v>4799</v>
      </c>
      <c r="B4804" s="3" t="str">
        <f>"00400867"</f>
        <v>00400867</v>
      </c>
    </row>
    <row r="4805" spans="1:2" x14ac:dyDescent="0.25">
      <c r="A4805" s="4">
        <v>4800</v>
      </c>
      <c r="B4805" s="3" t="str">
        <f>"00400897"</f>
        <v>00400897</v>
      </c>
    </row>
    <row r="4806" spans="1:2" x14ac:dyDescent="0.25">
      <c r="A4806" s="4">
        <v>4801</v>
      </c>
      <c r="B4806" s="3" t="str">
        <f>"00401014"</f>
        <v>00401014</v>
      </c>
    </row>
    <row r="4807" spans="1:2" x14ac:dyDescent="0.25">
      <c r="A4807" s="4">
        <v>4802</v>
      </c>
      <c r="B4807" s="3" t="str">
        <f>"00401075"</f>
        <v>00401075</v>
      </c>
    </row>
    <row r="4808" spans="1:2" x14ac:dyDescent="0.25">
      <c r="A4808" s="4">
        <v>4803</v>
      </c>
      <c r="B4808" s="3" t="str">
        <f>"00401103"</f>
        <v>00401103</v>
      </c>
    </row>
    <row r="4809" spans="1:2" x14ac:dyDescent="0.25">
      <c r="A4809" s="4">
        <v>4804</v>
      </c>
      <c r="B4809" s="3" t="str">
        <f>"00401165"</f>
        <v>00401165</v>
      </c>
    </row>
    <row r="4810" spans="1:2" x14ac:dyDescent="0.25">
      <c r="A4810" s="4">
        <v>4805</v>
      </c>
      <c r="B4810" s="3" t="str">
        <f>"00401195"</f>
        <v>00401195</v>
      </c>
    </row>
    <row r="4811" spans="1:2" x14ac:dyDescent="0.25">
      <c r="A4811" s="4">
        <v>4806</v>
      </c>
      <c r="B4811" s="3" t="str">
        <f>"00401233"</f>
        <v>00401233</v>
      </c>
    </row>
    <row r="4812" spans="1:2" x14ac:dyDescent="0.25">
      <c r="A4812" s="4">
        <v>4807</v>
      </c>
      <c r="B4812" s="3" t="str">
        <f>"00401251"</f>
        <v>00401251</v>
      </c>
    </row>
    <row r="4813" spans="1:2" x14ac:dyDescent="0.25">
      <c r="A4813" s="4">
        <v>4808</v>
      </c>
      <c r="B4813" s="3" t="str">
        <f>"00401378"</f>
        <v>00401378</v>
      </c>
    </row>
    <row r="4814" spans="1:2" x14ac:dyDescent="0.25">
      <c r="A4814" s="4">
        <v>4809</v>
      </c>
      <c r="B4814" s="3" t="str">
        <f>"00401396"</f>
        <v>00401396</v>
      </c>
    </row>
    <row r="4815" spans="1:2" x14ac:dyDescent="0.25">
      <c r="A4815" s="4">
        <v>4810</v>
      </c>
      <c r="B4815" s="3" t="str">
        <f>"00401408"</f>
        <v>00401408</v>
      </c>
    </row>
    <row r="4816" spans="1:2" x14ac:dyDescent="0.25">
      <c r="A4816" s="4">
        <v>4811</v>
      </c>
      <c r="B4816" s="3" t="str">
        <f>"00401468"</f>
        <v>00401468</v>
      </c>
    </row>
    <row r="4817" spans="1:2" x14ac:dyDescent="0.25">
      <c r="A4817" s="4">
        <v>4812</v>
      </c>
      <c r="B4817" s="3" t="str">
        <f>"00401472"</f>
        <v>00401472</v>
      </c>
    </row>
    <row r="4818" spans="1:2" x14ac:dyDescent="0.25">
      <c r="A4818" s="4">
        <v>4813</v>
      </c>
      <c r="B4818" s="3" t="str">
        <f>"00401491"</f>
        <v>00401491</v>
      </c>
    </row>
    <row r="4819" spans="1:2" x14ac:dyDescent="0.25">
      <c r="A4819" s="4">
        <v>4814</v>
      </c>
      <c r="B4819" s="3" t="str">
        <f>"00401536"</f>
        <v>00401536</v>
      </c>
    </row>
    <row r="4820" spans="1:2" x14ac:dyDescent="0.25">
      <c r="A4820" s="4">
        <v>4815</v>
      </c>
      <c r="B4820" s="3" t="str">
        <f>"00401548"</f>
        <v>00401548</v>
      </c>
    </row>
    <row r="4821" spans="1:2" x14ac:dyDescent="0.25">
      <c r="A4821" s="4">
        <v>4816</v>
      </c>
      <c r="B4821" s="3" t="str">
        <f>"00401563"</f>
        <v>00401563</v>
      </c>
    </row>
    <row r="4822" spans="1:2" x14ac:dyDescent="0.25">
      <c r="A4822" s="4">
        <v>4817</v>
      </c>
      <c r="B4822" s="3" t="str">
        <f>"00401605"</f>
        <v>00401605</v>
      </c>
    </row>
    <row r="4823" spans="1:2" x14ac:dyDescent="0.25">
      <c r="A4823" s="4">
        <v>4818</v>
      </c>
      <c r="B4823" s="3" t="str">
        <f>"00401659"</f>
        <v>00401659</v>
      </c>
    </row>
    <row r="4824" spans="1:2" x14ac:dyDescent="0.25">
      <c r="A4824" s="4">
        <v>4819</v>
      </c>
      <c r="B4824" s="3" t="str">
        <f>"00401733"</f>
        <v>00401733</v>
      </c>
    </row>
    <row r="4825" spans="1:2" x14ac:dyDescent="0.25">
      <c r="A4825" s="4">
        <v>4820</v>
      </c>
      <c r="B4825" s="3" t="str">
        <f>"00401772"</f>
        <v>00401772</v>
      </c>
    </row>
    <row r="4826" spans="1:2" x14ac:dyDescent="0.25">
      <c r="A4826" s="4">
        <v>4821</v>
      </c>
      <c r="B4826" s="3" t="str">
        <f>"00401803"</f>
        <v>00401803</v>
      </c>
    </row>
    <row r="4827" spans="1:2" x14ac:dyDescent="0.25">
      <c r="A4827" s="4">
        <v>4822</v>
      </c>
      <c r="B4827" s="3" t="str">
        <f>"00401824"</f>
        <v>00401824</v>
      </c>
    </row>
    <row r="4828" spans="1:2" x14ac:dyDescent="0.25">
      <c r="A4828" s="4">
        <v>4823</v>
      </c>
      <c r="B4828" s="3" t="str">
        <f>"00401842"</f>
        <v>00401842</v>
      </c>
    </row>
    <row r="4829" spans="1:2" x14ac:dyDescent="0.25">
      <c r="A4829" s="4">
        <v>4824</v>
      </c>
      <c r="B4829" s="19" t="s">
        <v>15</v>
      </c>
    </row>
    <row r="4830" spans="1:2" x14ac:dyDescent="0.25">
      <c r="A4830" s="4">
        <v>4825</v>
      </c>
      <c r="B4830" s="3" t="str">
        <f>"00401922"</f>
        <v>00401922</v>
      </c>
    </row>
    <row r="4831" spans="1:2" x14ac:dyDescent="0.25">
      <c r="A4831" s="4">
        <v>4826</v>
      </c>
      <c r="B4831" s="3" t="str">
        <f>"00401943"</f>
        <v>00401943</v>
      </c>
    </row>
    <row r="4832" spans="1:2" x14ac:dyDescent="0.25">
      <c r="A4832" s="4">
        <v>4827</v>
      </c>
      <c r="B4832" s="3" t="str">
        <f>"00402010"</f>
        <v>00402010</v>
      </c>
    </row>
    <row r="4833" spans="1:2" x14ac:dyDescent="0.25">
      <c r="A4833" s="4">
        <v>4828</v>
      </c>
      <c r="B4833" s="3" t="str">
        <f>"00402017"</f>
        <v>00402017</v>
      </c>
    </row>
    <row r="4834" spans="1:2" x14ac:dyDescent="0.25">
      <c r="A4834" s="4">
        <v>4829</v>
      </c>
      <c r="B4834" s="3" t="str">
        <f>"00402080"</f>
        <v>00402080</v>
      </c>
    </row>
    <row r="4835" spans="1:2" x14ac:dyDescent="0.25">
      <c r="A4835" s="4">
        <v>4830</v>
      </c>
      <c r="B4835" s="3" t="str">
        <f>"00402129"</f>
        <v>00402129</v>
      </c>
    </row>
    <row r="4836" spans="1:2" x14ac:dyDescent="0.25">
      <c r="A4836" s="4">
        <v>4831</v>
      </c>
      <c r="B4836" s="3" t="str">
        <f>"00402138"</f>
        <v>00402138</v>
      </c>
    </row>
    <row r="4837" spans="1:2" x14ac:dyDescent="0.25">
      <c r="A4837" s="4">
        <v>4832</v>
      </c>
      <c r="B4837" s="3" t="str">
        <f>"00402147"</f>
        <v>00402147</v>
      </c>
    </row>
    <row r="4838" spans="1:2" x14ac:dyDescent="0.25">
      <c r="A4838" s="4">
        <v>4833</v>
      </c>
      <c r="B4838" s="3" t="str">
        <f>"00402163"</f>
        <v>00402163</v>
      </c>
    </row>
    <row r="4839" spans="1:2" x14ac:dyDescent="0.25">
      <c r="A4839" s="4">
        <v>4834</v>
      </c>
      <c r="B4839" s="3" t="str">
        <f>"00402244"</f>
        <v>00402244</v>
      </c>
    </row>
    <row r="4840" spans="1:2" x14ac:dyDescent="0.25">
      <c r="A4840" s="4">
        <v>4835</v>
      </c>
      <c r="B4840" s="3" t="str">
        <f>"00402263"</f>
        <v>00402263</v>
      </c>
    </row>
    <row r="4841" spans="1:2" x14ac:dyDescent="0.25">
      <c r="A4841" s="4">
        <v>4836</v>
      </c>
      <c r="B4841" s="3" t="str">
        <f>"00402264"</f>
        <v>00402264</v>
      </c>
    </row>
    <row r="4842" spans="1:2" x14ac:dyDescent="0.25">
      <c r="A4842" s="4">
        <v>4837</v>
      </c>
      <c r="B4842" s="3" t="str">
        <f>"00402282"</f>
        <v>00402282</v>
      </c>
    </row>
    <row r="4843" spans="1:2" x14ac:dyDescent="0.25">
      <c r="A4843" s="4">
        <v>4838</v>
      </c>
      <c r="B4843" s="3" t="str">
        <f>"00402345"</f>
        <v>00402345</v>
      </c>
    </row>
    <row r="4844" spans="1:2" x14ac:dyDescent="0.25">
      <c r="A4844" s="4">
        <v>4839</v>
      </c>
      <c r="B4844" s="3" t="str">
        <f>"00402488"</f>
        <v>00402488</v>
      </c>
    </row>
    <row r="4845" spans="1:2" x14ac:dyDescent="0.25">
      <c r="A4845" s="4">
        <v>4840</v>
      </c>
      <c r="B4845" s="3" t="str">
        <f>"00402543"</f>
        <v>00402543</v>
      </c>
    </row>
    <row r="4846" spans="1:2" x14ac:dyDescent="0.25">
      <c r="A4846" s="4">
        <v>4841</v>
      </c>
      <c r="B4846" s="3" t="str">
        <f>"00402663"</f>
        <v>00402663</v>
      </c>
    </row>
    <row r="4847" spans="1:2" x14ac:dyDescent="0.25">
      <c r="A4847" s="4">
        <v>4842</v>
      </c>
      <c r="B4847" s="3" t="str">
        <f>"00402670"</f>
        <v>00402670</v>
      </c>
    </row>
    <row r="4848" spans="1:2" x14ac:dyDescent="0.25">
      <c r="A4848" s="4">
        <v>4843</v>
      </c>
      <c r="B4848" s="3" t="str">
        <f>"00402674"</f>
        <v>00402674</v>
      </c>
    </row>
    <row r="4849" spans="1:2" x14ac:dyDescent="0.25">
      <c r="A4849" s="4">
        <v>4844</v>
      </c>
      <c r="B4849" s="3" t="str">
        <f>"00402731"</f>
        <v>00402731</v>
      </c>
    </row>
    <row r="4850" spans="1:2" x14ac:dyDescent="0.25">
      <c r="A4850" s="4">
        <v>4845</v>
      </c>
      <c r="B4850" s="3" t="str">
        <f>"00402764"</f>
        <v>00402764</v>
      </c>
    </row>
    <row r="4851" spans="1:2" x14ac:dyDescent="0.25">
      <c r="A4851" s="4">
        <v>4846</v>
      </c>
      <c r="B4851" s="3" t="str">
        <f>"00402851"</f>
        <v>00402851</v>
      </c>
    </row>
    <row r="4852" spans="1:2" x14ac:dyDescent="0.25">
      <c r="A4852" s="4">
        <v>4847</v>
      </c>
      <c r="B4852" s="3" t="str">
        <f>"00402909"</f>
        <v>00402909</v>
      </c>
    </row>
    <row r="4853" spans="1:2" x14ac:dyDescent="0.25">
      <c r="A4853" s="4">
        <v>4848</v>
      </c>
      <c r="B4853" s="3" t="str">
        <f>"00402911"</f>
        <v>00402911</v>
      </c>
    </row>
    <row r="4854" spans="1:2" x14ac:dyDescent="0.25">
      <c r="A4854" s="4">
        <v>4849</v>
      </c>
      <c r="B4854" s="3" t="str">
        <f>"00402968"</f>
        <v>00402968</v>
      </c>
    </row>
    <row r="4855" spans="1:2" x14ac:dyDescent="0.25">
      <c r="A4855" s="4">
        <v>4850</v>
      </c>
      <c r="B4855" s="3" t="str">
        <f>"00402985"</f>
        <v>00402985</v>
      </c>
    </row>
    <row r="4856" spans="1:2" x14ac:dyDescent="0.25">
      <c r="A4856" s="4">
        <v>4851</v>
      </c>
      <c r="B4856" s="3" t="str">
        <f>"00402989"</f>
        <v>00402989</v>
      </c>
    </row>
    <row r="4857" spans="1:2" x14ac:dyDescent="0.25">
      <c r="A4857" s="4">
        <v>4852</v>
      </c>
      <c r="B4857" s="3" t="str">
        <f>"00403063"</f>
        <v>00403063</v>
      </c>
    </row>
    <row r="4858" spans="1:2" x14ac:dyDescent="0.25">
      <c r="A4858" s="4">
        <v>4853</v>
      </c>
      <c r="B4858" s="3" t="str">
        <f>"00403088"</f>
        <v>00403088</v>
      </c>
    </row>
    <row r="4859" spans="1:2" x14ac:dyDescent="0.25">
      <c r="A4859" s="4">
        <v>4854</v>
      </c>
      <c r="B4859" s="3" t="str">
        <f>"00403412"</f>
        <v>00403412</v>
      </c>
    </row>
    <row r="4860" spans="1:2" x14ac:dyDescent="0.25">
      <c r="A4860" s="4">
        <v>4855</v>
      </c>
      <c r="B4860" s="3" t="str">
        <f>"00403420"</f>
        <v>00403420</v>
      </c>
    </row>
    <row r="4861" spans="1:2" x14ac:dyDescent="0.25">
      <c r="A4861" s="4">
        <v>4856</v>
      </c>
      <c r="B4861" s="3" t="str">
        <f>"00403469"</f>
        <v>00403469</v>
      </c>
    </row>
    <row r="4862" spans="1:2" x14ac:dyDescent="0.25">
      <c r="A4862" s="4">
        <v>4857</v>
      </c>
      <c r="B4862" s="3" t="str">
        <f>"00403569"</f>
        <v>00403569</v>
      </c>
    </row>
    <row r="4863" spans="1:2" x14ac:dyDescent="0.25">
      <c r="A4863" s="4">
        <v>4858</v>
      </c>
      <c r="B4863" s="3" t="str">
        <f>"00403700"</f>
        <v>00403700</v>
      </c>
    </row>
    <row r="4864" spans="1:2" x14ac:dyDescent="0.25">
      <c r="A4864" s="4">
        <v>4859</v>
      </c>
      <c r="B4864" s="3" t="str">
        <f>"00403766"</f>
        <v>00403766</v>
      </c>
    </row>
    <row r="4865" spans="1:2" x14ac:dyDescent="0.25">
      <c r="A4865" s="4">
        <v>4860</v>
      </c>
      <c r="B4865" s="3" t="str">
        <f>"00403773"</f>
        <v>00403773</v>
      </c>
    </row>
    <row r="4866" spans="1:2" x14ac:dyDescent="0.25">
      <c r="A4866" s="4">
        <v>4861</v>
      </c>
      <c r="B4866" s="3" t="str">
        <f>"00403941"</f>
        <v>00403941</v>
      </c>
    </row>
    <row r="4867" spans="1:2" x14ac:dyDescent="0.25">
      <c r="A4867" s="4">
        <v>4862</v>
      </c>
      <c r="B4867" s="3" t="str">
        <f>"00403998"</f>
        <v>00403998</v>
      </c>
    </row>
    <row r="4868" spans="1:2" x14ac:dyDescent="0.25">
      <c r="A4868" s="4">
        <v>4863</v>
      </c>
      <c r="B4868" s="3" t="str">
        <f>"00403999"</f>
        <v>00403999</v>
      </c>
    </row>
    <row r="4869" spans="1:2" x14ac:dyDescent="0.25">
      <c r="A4869" s="4">
        <v>4864</v>
      </c>
      <c r="B4869" s="3" t="str">
        <f>"00404023"</f>
        <v>00404023</v>
      </c>
    </row>
    <row r="4870" spans="1:2" x14ac:dyDescent="0.25">
      <c r="A4870" s="4">
        <v>4865</v>
      </c>
      <c r="B4870" s="3" t="str">
        <f>"00404034"</f>
        <v>00404034</v>
      </c>
    </row>
    <row r="4871" spans="1:2" x14ac:dyDescent="0.25">
      <c r="A4871" s="4">
        <v>4866</v>
      </c>
      <c r="B4871" s="3" t="str">
        <f>"00404123"</f>
        <v>00404123</v>
      </c>
    </row>
    <row r="4872" spans="1:2" x14ac:dyDescent="0.25">
      <c r="A4872" s="4">
        <v>4867</v>
      </c>
      <c r="B4872" s="3" t="str">
        <f>"00404135"</f>
        <v>00404135</v>
      </c>
    </row>
    <row r="4873" spans="1:2" x14ac:dyDescent="0.25">
      <c r="A4873" s="4">
        <v>4868</v>
      </c>
      <c r="B4873" s="3" t="str">
        <f>"00404208"</f>
        <v>00404208</v>
      </c>
    </row>
    <row r="4874" spans="1:2" x14ac:dyDescent="0.25">
      <c r="A4874" s="4">
        <v>4869</v>
      </c>
      <c r="B4874" s="3" t="str">
        <f>"00404294"</f>
        <v>00404294</v>
      </c>
    </row>
    <row r="4875" spans="1:2" x14ac:dyDescent="0.25">
      <c r="A4875" s="4">
        <v>4870</v>
      </c>
      <c r="B4875" s="3" t="str">
        <f>"00404335"</f>
        <v>00404335</v>
      </c>
    </row>
    <row r="4876" spans="1:2" x14ac:dyDescent="0.25">
      <c r="A4876" s="4">
        <v>4871</v>
      </c>
      <c r="B4876" s="3" t="str">
        <f>"00404350"</f>
        <v>00404350</v>
      </c>
    </row>
    <row r="4877" spans="1:2" x14ac:dyDescent="0.25">
      <c r="A4877" s="4">
        <v>4872</v>
      </c>
      <c r="B4877" s="3" t="str">
        <f>"00404447"</f>
        <v>00404447</v>
      </c>
    </row>
    <row r="4878" spans="1:2" x14ac:dyDescent="0.25">
      <c r="A4878" s="4">
        <v>4873</v>
      </c>
      <c r="B4878" s="3" t="str">
        <f>"00404485"</f>
        <v>00404485</v>
      </c>
    </row>
    <row r="4879" spans="1:2" x14ac:dyDescent="0.25">
      <c r="A4879" s="4">
        <v>4874</v>
      </c>
      <c r="B4879" s="3" t="str">
        <f>"00404577"</f>
        <v>00404577</v>
      </c>
    </row>
    <row r="4880" spans="1:2" x14ac:dyDescent="0.25">
      <c r="A4880" s="4">
        <v>4875</v>
      </c>
      <c r="B4880" s="3" t="str">
        <f>"00404596"</f>
        <v>00404596</v>
      </c>
    </row>
    <row r="4881" spans="1:2" x14ac:dyDescent="0.25">
      <c r="A4881" s="4">
        <v>4876</v>
      </c>
      <c r="B4881" s="3" t="str">
        <f>"00404626"</f>
        <v>00404626</v>
      </c>
    </row>
    <row r="4882" spans="1:2" x14ac:dyDescent="0.25">
      <c r="A4882" s="4">
        <v>4877</v>
      </c>
      <c r="B4882" s="3" t="str">
        <f>"00404664"</f>
        <v>00404664</v>
      </c>
    </row>
    <row r="4883" spans="1:2" x14ac:dyDescent="0.25">
      <c r="A4883" s="4">
        <v>4878</v>
      </c>
      <c r="B4883" s="3" t="str">
        <f>"00404713"</f>
        <v>00404713</v>
      </c>
    </row>
    <row r="4884" spans="1:2" x14ac:dyDescent="0.25">
      <c r="A4884" s="4">
        <v>4879</v>
      </c>
      <c r="B4884" s="3" t="str">
        <f>"00404749"</f>
        <v>00404749</v>
      </c>
    </row>
    <row r="4885" spans="1:2" x14ac:dyDescent="0.25">
      <c r="A4885" s="4">
        <v>4880</v>
      </c>
      <c r="B4885" s="3" t="str">
        <f>"00404752"</f>
        <v>00404752</v>
      </c>
    </row>
    <row r="4886" spans="1:2" x14ac:dyDescent="0.25">
      <c r="A4886" s="4">
        <v>4881</v>
      </c>
      <c r="B4886" s="3" t="str">
        <f>"00404781"</f>
        <v>00404781</v>
      </c>
    </row>
    <row r="4887" spans="1:2" x14ac:dyDescent="0.25">
      <c r="A4887" s="4">
        <v>4882</v>
      </c>
      <c r="B4887" s="3" t="str">
        <f>"00404831"</f>
        <v>00404831</v>
      </c>
    </row>
    <row r="4888" spans="1:2" x14ac:dyDescent="0.25">
      <c r="A4888" s="4">
        <v>4883</v>
      </c>
      <c r="B4888" s="3" t="str">
        <f>"00404921"</f>
        <v>00404921</v>
      </c>
    </row>
    <row r="4889" spans="1:2" x14ac:dyDescent="0.25">
      <c r="A4889" s="4">
        <v>4884</v>
      </c>
      <c r="B4889" s="3" t="str">
        <f>"00404962"</f>
        <v>00404962</v>
      </c>
    </row>
    <row r="4890" spans="1:2" x14ac:dyDescent="0.25">
      <c r="A4890" s="4">
        <v>4885</v>
      </c>
      <c r="B4890" s="3" t="str">
        <f>"00404990"</f>
        <v>00404990</v>
      </c>
    </row>
    <row r="4891" spans="1:2" x14ac:dyDescent="0.25">
      <c r="A4891" s="4">
        <v>4886</v>
      </c>
      <c r="B4891" s="3" t="str">
        <f>"00404999"</f>
        <v>00404999</v>
      </c>
    </row>
    <row r="4892" spans="1:2" x14ac:dyDescent="0.25">
      <c r="A4892" s="4">
        <v>4887</v>
      </c>
      <c r="B4892" s="3" t="str">
        <f>"00405021"</f>
        <v>00405021</v>
      </c>
    </row>
    <row r="4893" spans="1:2" x14ac:dyDescent="0.25">
      <c r="A4893" s="4">
        <v>4888</v>
      </c>
      <c r="B4893" s="3" t="str">
        <f>"00405047"</f>
        <v>00405047</v>
      </c>
    </row>
    <row r="4894" spans="1:2" x14ac:dyDescent="0.25">
      <c r="A4894" s="4">
        <v>4889</v>
      </c>
      <c r="B4894" s="3" t="str">
        <f>"00405110"</f>
        <v>00405110</v>
      </c>
    </row>
    <row r="4895" spans="1:2" x14ac:dyDescent="0.25">
      <c r="A4895" s="4">
        <v>4890</v>
      </c>
      <c r="B4895" s="3" t="str">
        <f>"00405138"</f>
        <v>00405138</v>
      </c>
    </row>
    <row r="4896" spans="1:2" x14ac:dyDescent="0.25">
      <c r="A4896" s="4">
        <v>4891</v>
      </c>
      <c r="B4896" s="3" t="str">
        <f>"00405269"</f>
        <v>00405269</v>
      </c>
    </row>
    <row r="4897" spans="1:2" x14ac:dyDescent="0.25">
      <c r="A4897" s="4">
        <v>4892</v>
      </c>
      <c r="B4897" s="3" t="str">
        <f>"00405285"</f>
        <v>00405285</v>
      </c>
    </row>
    <row r="4898" spans="1:2" x14ac:dyDescent="0.25">
      <c r="A4898" s="4">
        <v>4893</v>
      </c>
      <c r="B4898" s="3" t="str">
        <f>"00405293"</f>
        <v>00405293</v>
      </c>
    </row>
    <row r="4899" spans="1:2" x14ac:dyDescent="0.25">
      <c r="A4899" s="4">
        <v>4894</v>
      </c>
      <c r="B4899" s="3" t="str">
        <f>"00405296"</f>
        <v>00405296</v>
      </c>
    </row>
    <row r="4900" spans="1:2" x14ac:dyDescent="0.25">
      <c r="A4900" s="4">
        <v>4895</v>
      </c>
      <c r="B4900" s="3" t="str">
        <f>"00405361"</f>
        <v>00405361</v>
      </c>
    </row>
    <row r="4901" spans="1:2" x14ac:dyDescent="0.25">
      <c r="A4901" s="4">
        <v>4896</v>
      </c>
      <c r="B4901" s="3" t="str">
        <f>"00405365"</f>
        <v>00405365</v>
      </c>
    </row>
    <row r="4902" spans="1:2" x14ac:dyDescent="0.25">
      <c r="A4902" s="4">
        <v>4897</v>
      </c>
      <c r="B4902" s="3" t="str">
        <f>"00405380"</f>
        <v>00405380</v>
      </c>
    </row>
    <row r="4903" spans="1:2" x14ac:dyDescent="0.25">
      <c r="A4903" s="4">
        <v>4898</v>
      </c>
      <c r="B4903" s="3" t="str">
        <f>"00405464"</f>
        <v>00405464</v>
      </c>
    </row>
    <row r="4904" spans="1:2" x14ac:dyDescent="0.25">
      <c r="A4904" s="4">
        <v>4899</v>
      </c>
      <c r="B4904" s="3" t="str">
        <f>"00405553"</f>
        <v>00405553</v>
      </c>
    </row>
    <row r="4905" spans="1:2" x14ac:dyDescent="0.25">
      <c r="A4905" s="4">
        <v>4900</v>
      </c>
      <c r="B4905" s="3" t="str">
        <f>"00405560"</f>
        <v>00405560</v>
      </c>
    </row>
    <row r="4906" spans="1:2" x14ac:dyDescent="0.25">
      <c r="A4906" s="4">
        <v>4901</v>
      </c>
      <c r="B4906" s="3" t="str">
        <f>"00405607"</f>
        <v>00405607</v>
      </c>
    </row>
    <row r="4907" spans="1:2" x14ac:dyDescent="0.25">
      <c r="A4907" s="4">
        <v>4902</v>
      </c>
      <c r="B4907" s="3" t="str">
        <f>"00405617"</f>
        <v>00405617</v>
      </c>
    </row>
    <row r="4908" spans="1:2" x14ac:dyDescent="0.25">
      <c r="A4908" s="4">
        <v>4903</v>
      </c>
      <c r="B4908" s="3" t="str">
        <f>"00405674"</f>
        <v>00405674</v>
      </c>
    </row>
    <row r="4909" spans="1:2" x14ac:dyDescent="0.25">
      <c r="A4909" s="4">
        <v>4904</v>
      </c>
      <c r="B4909" s="3" t="str">
        <f>"00405756"</f>
        <v>00405756</v>
      </c>
    </row>
    <row r="4910" spans="1:2" x14ac:dyDescent="0.25">
      <c r="A4910" s="4">
        <v>4905</v>
      </c>
      <c r="B4910" s="3" t="str">
        <f>"00405789"</f>
        <v>00405789</v>
      </c>
    </row>
    <row r="4911" spans="1:2" x14ac:dyDescent="0.25">
      <c r="A4911" s="4">
        <v>4906</v>
      </c>
      <c r="B4911" s="3" t="str">
        <f>"00405878"</f>
        <v>00405878</v>
      </c>
    </row>
    <row r="4912" spans="1:2" x14ac:dyDescent="0.25">
      <c r="A4912" s="4">
        <v>4907</v>
      </c>
      <c r="B4912" s="3" t="str">
        <f>"00405897"</f>
        <v>00405897</v>
      </c>
    </row>
    <row r="4913" spans="1:2" x14ac:dyDescent="0.25">
      <c r="A4913" s="4">
        <v>4908</v>
      </c>
      <c r="B4913" s="3" t="str">
        <f>"00405952"</f>
        <v>00405952</v>
      </c>
    </row>
    <row r="4914" spans="1:2" x14ac:dyDescent="0.25">
      <c r="A4914" s="4">
        <v>4909</v>
      </c>
      <c r="B4914" s="3" t="str">
        <f>"00405963"</f>
        <v>00405963</v>
      </c>
    </row>
    <row r="4915" spans="1:2" x14ac:dyDescent="0.25">
      <c r="A4915" s="4">
        <v>4910</v>
      </c>
      <c r="B4915" s="3" t="str">
        <f>"00405967"</f>
        <v>00405967</v>
      </c>
    </row>
    <row r="4916" spans="1:2" x14ac:dyDescent="0.25">
      <c r="A4916" s="4">
        <v>4911</v>
      </c>
      <c r="B4916" s="3" t="str">
        <f>"00406015"</f>
        <v>00406015</v>
      </c>
    </row>
    <row r="4917" spans="1:2" x14ac:dyDescent="0.25">
      <c r="A4917" s="4">
        <v>4912</v>
      </c>
      <c r="B4917" s="3" t="str">
        <f>"00406016"</f>
        <v>00406016</v>
      </c>
    </row>
    <row r="4918" spans="1:2" x14ac:dyDescent="0.25">
      <c r="A4918" s="4">
        <v>4913</v>
      </c>
      <c r="B4918" s="3" t="str">
        <f>"00406046"</f>
        <v>00406046</v>
      </c>
    </row>
    <row r="4919" spans="1:2" x14ac:dyDescent="0.25">
      <c r="A4919" s="4">
        <v>4914</v>
      </c>
      <c r="B4919" s="3" t="str">
        <f>"00406277"</f>
        <v>00406277</v>
      </c>
    </row>
    <row r="4920" spans="1:2" x14ac:dyDescent="0.25">
      <c r="A4920" s="4">
        <v>4915</v>
      </c>
      <c r="B4920" s="3" t="str">
        <f>"00406291"</f>
        <v>00406291</v>
      </c>
    </row>
    <row r="4921" spans="1:2" x14ac:dyDescent="0.25">
      <c r="A4921" s="4">
        <v>4916</v>
      </c>
      <c r="B4921" s="3" t="str">
        <f>"00406366"</f>
        <v>00406366</v>
      </c>
    </row>
    <row r="4922" spans="1:2" x14ac:dyDescent="0.25">
      <c r="A4922" s="4">
        <v>4917</v>
      </c>
      <c r="B4922" s="3" t="str">
        <f>"00406484"</f>
        <v>00406484</v>
      </c>
    </row>
    <row r="4923" spans="1:2" x14ac:dyDescent="0.25">
      <c r="A4923" s="4">
        <v>4918</v>
      </c>
      <c r="B4923" s="3" t="str">
        <f>"00406529"</f>
        <v>00406529</v>
      </c>
    </row>
    <row r="4924" spans="1:2" x14ac:dyDescent="0.25">
      <c r="A4924" s="4">
        <v>4919</v>
      </c>
      <c r="B4924" s="3" t="str">
        <f>"00406548"</f>
        <v>00406548</v>
      </c>
    </row>
    <row r="4925" spans="1:2" x14ac:dyDescent="0.25">
      <c r="A4925" s="4">
        <v>4920</v>
      </c>
      <c r="B4925" s="3" t="str">
        <f>"00406612"</f>
        <v>00406612</v>
      </c>
    </row>
    <row r="4926" spans="1:2" x14ac:dyDescent="0.25">
      <c r="A4926" s="4">
        <v>4921</v>
      </c>
      <c r="B4926" s="3" t="str">
        <f>"00406629"</f>
        <v>00406629</v>
      </c>
    </row>
    <row r="4927" spans="1:2" x14ac:dyDescent="0.25">
      <c r="A4927" s="4">
        <v>4922</v>
      </c>
      <c r="B4927" s="3" t="str">
        <f>"00406719"</f>
        <v>00406719</v>
      </c>
    </row>
    <row r="4928" spans="1:2" x14ac:dyDescent="0.25">
      <c r="A4928" s="4">
        <v>4923</v>
      </c>
      <c r="B4928" s="3" t="str">
        <f>"00406781"</f>
        <v>00406781</v>
      </c>
    </row>
    <row r="4929" spans="1:2" x14ac:dyDescent="0.25">
      <c r="A4929" s="4">
        <v>4924</v>
      </c>
      <c r="B4929" s="3" t="str">
        <f>"00406792"</f>
        <v>00406792</v>
      </c>
    </row>
    <row r="4930" spans="1:2" x14ac:dyDescent="0.25">
      <c r="A4930" s="4">
        <v>4925</v>
      </c>
      <c r="B4930" s="3" t="str">
        <f>"00406799"</f>
        <v>00406799</v>
      </c>
    </row>
    <row r="4931" spans="1:2" x14ac:dyDescent="0.25">
      <c r="A4931" s="4">
        <v>4926</v>
      </c>
      <c r="B4931" s="3" t="str">
        <f>"00406841"</f>
        <v>00406841</v>
      </c>
    </row>
    <row r="4932" spans="1:2" x14ac:dyDescent="0.25">
      <c r="A4932" s="4">
        <v>4927</v>
      </c>
      <c r="B4932" s="3" t="str">
        <f>"00406892"</f>
        <v>00406892</v>
      </c>
    </row>
    <row r="4933" spans="1:2" x14ac:dyDescent="0.25">
      <c r="A4933" s="4">
        <v>4928</v>
      </c>
      <c r="B4933" s="3" t="str">
        <f>"00406958"</f>
        <v>00406958</v>
      </c>
    </row>
    <row r="4934" spans="1:2" x14ac:dyDescent="0.25">
      <c r="A4934" s="4">
        <v>4929</v>
      </c>
      <c r="B4934" s="3" t="str">
        <f>"00406975"</f>
        <v>00406975</v>
      </c>
    </row>
    <row r="4935" spans="1:2" x14ac:dyDescent="0.25">
      <c r="A4935" s="4">
        <v>4930</v>
      </c>
      <c r="B4935" s="3" t="str">
        <f>"00406991"</f>
        <v>00406991</v>
      </c>
    </row>
    <row r="4936" spans="1:2" x14ac:dyDescent="0.25">
      <c r="A4936" s="4">
        <v>4931</v>
      </c>
      <c r="B4936" s="3" t="str">
        <f>"00407085"</f>
        <v>00407085</v>
      </c>
    </row>
    <row r="4937" spans="1:2" x14ac:dyDescent="0.25">
      <c r="A4937" s="4">
        <v>4932</v>
      </c>
      <c r="B4937" s="3" t="str">
        <f>"00407122"</f>
        <v>00407122</v>
      </c>
    </row>
    <row r="4938" spans="1:2" x14ac:dyDescent="0.25">
      <c r="A4938" s="4">
        <v>4933</v>
      </c>
      <c r="B4938" s="3" t="str">
        <f>"00407145"</f>
        <v>00407145</v>
      </c>
    </row>
    <row r="4939" spans="1:2" x14ac:dyDescent="0.25">
      <c r="A4939" s="4">
        <v>4934</v>
      </c>
      <c r="B4939" s="3" t="str">
        <f>"00407150"</f>
        <v>00407150</v>
      </c>
    </row>
    <row r="4940" spans="1:2" x14ac:dyDescent="0.25">
      <c r="A4940" s="4">
        <v>4935</v>
      </c>
      <c r="B4940" s="3" t="str">
        <f>"00407260"</f>
        <v>00407260</v>
      </c>
    </row>
    <row r="4941" spans="1:2" x14ac:dyDescent="0.25">
      <c r="A4941" s="4">
        <v>4936</v>
      </c>
      <c r="B4941" s="3" t="str">
        <f>"00407303"</f>
        <v>00407303</v>
      </c>
    </row>
    <row r="4942" spans="1:2" x14ac:dyDescent="0.25">
      <c r="A4942" s="4">
        <v>4937</v>
      </c>
      <c r="B4942" s="3" t="str">
        <f>"00407380"</f>
        <v>00407380</v>
      </c>
    </row>
    <row r="4943" spans="1:2" x14ac:dyDescent="0.25">
      <c r="A4943" s="4">
        <v>4938</v>
      </c>
      <c r="B4943" s="3" t="str">
        <f>"00407425"</f>
        <v>00407425</v>
      </c>
    </row>
    <row r="4944" spans="1:2" x14ac:dyDescent="0.25">
      <c r="A4944" s="4">
        <v>4939</v>
      </c>
      <c r="B4944" s="3" t="str">
        <f>"00407522"</f>
        <v>00407522</v>
      </c>
    </row>
    <row r="4945" spans="1:2" x14ac:dyDescent="0.25">
      <c r="A4945" s="4">
        <v>4940</v>
      </c>
      <c r="B4945" s="3" t="str">
        <f>"00407594"</f>
        <v>00407594</v>
      </c>
    </row>
    <row r="4946" spans="1:2" x14ac:dyDescent="0.25">
      <c r="A4946" s="4">
        <v>4941</v>
      </c>
      <c r="B4946" s="3" t="str">
        <f>"00407718"</f>
        <v>00407718</v>
      </c>
    </row>
    <row r="4947" spans="1:2" x14ac:dyDescent="0.25">
      <c r="A4947" s="4">
        <v>4942</v>
      </c>
      <c r="B4947" s="3" t="str">
        <f>"00407739"</f>
        <v>00407739</v>
      </c>
    </row>
    <row r="4948" spans="1:2" x14ac:dyDescent="0.25">
      <c r="A4948" s="4">
        <v>4943</v>
      </c>
      <c r="B4948" s="3" t="str">
        <f>"00407740"</f>
        <v>00407740</v>
      </c>
    </row>
    <row r="4949" spans="1:2" x14ac:dyDescent="0.25">
      <c r="A4949" s="4">
        <v>4944</v>
      </c>
      <c r="B4949" s="3" t="str">
        <f>"00407770"</f>
        <v>00407770</v>
      </c>
    </row>
    <row r="4950" spans="1:2" x14ac:dyDescent="0.25">
      <c r="A4950" s="4">
        <v>4945</v>
      </c>
      <c r="B4950" s="3" t="str">
        <f>"00407790"</f>
        <v>00407790</v>
      </c>
    </row>
    <row r="4951" spans="1:2" x14ac:dyDescent="0.25">
      <c r="A4951" s="4">
        <v>4946</v>
      </c>
      <c r="B4951" s="3" t="str">
        <f>"00407836"</f>
        <v>00407836</v>
      </c>
    </row>
    <row r="4952" spans="1:2" x14ac:dyDescent="0.25">
      <c r="A4952" s="4">
        <v>4947</v>
      </c>
      <c r="B4952" s="3" t="str">
        <f>"00407837"</f>
        <v>00407837</v>
      </c>
    </row>
    <row r="4953" spans="1:2" x14ac:dyDescent="0.25">
      <c r="A4953" s="4">
        <v>4948</v>
      </c>
      <c r="B4953" s="3" t="str">
        <f>"00408129"</f>
        <v>00408129</v>
      </c>
    </row>
    <row r="4954" spans="1:2" x14ac:dyDescent="0.25">
      <c r="A4954" s="4">
        <v>4949</v>
      </c>
      <c r="B4954" s="3" t="str">
        <f>"00408142"</f>
        <v>00408142</v>
      </c>
    </row>
    <row r="4955" spans="1:2" x14ac:dyDescent="0.25">
      <c r="A4955" s="4">
        <v>4950</v>
      </c>
      <c r="B4955" s="3" t="str">
        <f>"00408147"</f>
        <v>00408147</v>
      </c>
    </row>
    <row r="4956" spans="1:2" x14ac:dyDescent="0.25">
      <c r="A4956" s="4">
        <v>4951</v>
      </c>
      <c r="B4956" s="3" t="str">
        <f>"00408162"</f>
        <v>00408162</v>
      </c>
    </row>
    <row r="4957" spans="1:2" x14ac:dyDescent="0.25">
      <c r="A4957" s="4">
        <v>4952</v>
      </c>
      <c r="B4957" s="3" t="str">
        <f>"00408190"</f>
        <v>00408190</v>
      </c>
    </row>
    <row r="4958" spans="1:2" x14ac:dyDescent="0.25">
      <c r="A4958" s="4">
        <v>4953</v>
      </c>
      <c r="B4958" s="3" t="str">
        <f>"00408302"</f>
        <v>00408302</v>
      </c>
    </row>
    <row r="4959" spans="1:2" x14ac:dyDescent="0.25">
      <c r="A4959" s="4">
        <v>4954</v>
      </c>
      <c r="B4959" s="3" t="str">
        <f>"00408380"</f>
        <v>00408380</v>
      </c>
    </row>
    <row r="4960" spans="1:2" x14ac:dyDescent="0.25">
      <c r="A4960" s="4">
        <v>4955</v>
      </c>
      <c r="B4960" s="3" t="str">
        <f>"00408415"</f>
        <v>00408415</v>
      </c>
    </row>
    <row r="4961" spans="1:2" x14ac:dyDescent="0.25">
      <c r="A4961" s="4">
        <v>4956</v>
      </c>
      <c r="B4961" s="3" t="str">
        <f>"00408416"</f>
        <v>00408416</v>
      </c>
    </row>
    <row r="4962" spans="1:2" x14ac:dyDescent="0.25">
      <c r="A4962" s="4">
        <v>4957</v>
      </c>
      <c r="B4962" s="3" t="str">
        <f>"00408458"</f>
        <v>00408458</v>
      </c>
    </row>
    <row r="4963" spans="1:2" x14ac:dyDescent="0.25">
      <c r="A4963" s="4">
        <v>4958</v>
      </c>
      <c r="B4963" s="3" t="str">
        <f>"00408470"</f>
        <v>00408470</v>
      </c>
    </row>
    <row r="4964" spans="1:2" x14ac:dyDescent="0.25">
      <c r="A4964" s="4">
        <v>4959</v>
      </c>
      <c r="B4964" s="3" t="str">
        <f>"00408475"</f>
        <v>00408475</v>
      </c>
    </row>
    <row r="4965" spans="1:2" x14ac:dyDescent="0.25">
      <c r="A4965" s="4">
        <v>4960</v>
      </c>
      <c r="B4965" s="3" t="str">
        <f>"00408497"</f>
        <v>00408497</v>
      </c>
    </row>
    <row r="4966" spans="1:2" x14ac:dyDescent="0.25">
      <c r="A4966" s="4">
        <v>4961</v>
      </c>
      <c r="B4966" s="3" t="str">
        <f>"00408527"</f>
        <v>00408527</v>
      </c>
    </row>
    <row r="4967" spans="1:2" x14ac:dyDescent="0.25">
      <c r="A4967" s="4">
        <v>4962</v>
      </c>
      <c r="B4967" s="3" t="str">
        <f>"00408540"</f>
        <v>00408540</v>
      </c>
    </row>
    <row r="4968" spans="1:2" x14ac:dyDescent="0.25">
      <c r="A4968" s="4">
        <v>4963</v>
      </c>
      <c r="B4968" s="3" t="str">
        <f>"00408580"</f>
        <v>00408580</v>
      </c>
    </row>
    <row r="4969" spans="1:2" x14ac:dyDescent="0.25">
      <c r="A4969" s="4">
        <v>4964</v>
      </c>
      <c r="B4969" s="3" t="str">
        <f>"00408660"</f>
        <v>00408660</v>
      </c>
    </row>
    <row r="4970" spans="1:2" x14ac:dyDescent="0.25">
      <c r="A4970" s="4">
        <v>4965</v>
      </c>
      <c r="B4970" s="3" t="str">
        <f>"00408670"</f>
        <v>00408670</v>
      </c>
    </row>
    <row r="4971" spans="1:2" x14ac:dyDescent="0.25">
      <c r="A4971" s="4">
        <v>4966</v>
      </c>
      <c r="B4971" s="3" t="str">
        <f>"00408686"</f>
        <v>00408686</v>
      </c>
    </row>
    <row r="4972" spans="1:2" x14ac:dyDescent="0.25">
      <c r="A4972" s="4">
        <v>4967</v>
      </c>
      <c r="B4972" s="3" t="str">
        <f>"00408712"</f>
        <v>00408712</v>
      </c>
    </row>
    <row r="4973" spans="1:2" x14ac:dyDescent="0.25">
      <c r="A4973" s="4">
        <v>4968</v>
      </c>
      <c r="B4973" s="3" t="str">
        <f>"00408794"</f>
        <v>00408794</v>
      </c>
    </row>
    <row r="4974" spans="1:2" x14ac:dyDescent="0.25">
      <c r="A4974" s="4">
        <v>4969</v>
      </c>
      <c r="B4974" s="3" t="str">
        <f>"00408834"</f>
        <v>00408834</v>
      </c>
    </row>
    <row r="4975" spans="1:2" x14ac:dyDescent="0.25">
      <c r="A4975" s="4">
        <v>4970</v>
      </c>
      <c r="B4975" s="3" t="str">
        <f>"00408846"</f>
        <v>00408846</v>
      </c>
    </row>
    <row r="4976" spans="1:2" x14ac:dyDescent="0.25">
      <c r="A4976" s="4">
        <v>4971</v>
      </c>
      <c r="B4976" s="3" t="str">
        <f>"00408878"</f>
        <v>00408878</v>
      </c>
    </row>
    <row r="4977" spans="1:2" x14ac:dyDescent="0.25">
      <c r="A4977" s="4">
        <v>4972</v>
      </c>
      <c r="B4977" s="3" t="str">
        <f>"00408954"</f>
        <v>00408954</v>
      </c>
    </row>
    <row r="4978" spans="1:2" x14ac:dyDescent="0.25">
      <c r="A4978" s="4">
        <v>4973</v>
      </c>
      <c r="B4978" s="3" t="str">
        <f>"00408956"</f>
        <v>00408956</v>
      </c>
    </row>
    <row r="4979" spans="1:2" x14ac:dyDescent="0.25">
      <c r="A4979" s="4">
        <v>4974</v>
      </c>
      <c r="B4979" s="3" t="str">
        <f>"00408995"</f>
        <v>00408995</v>
      </c>
    </row>
    <row r="4980" spans="1:2" x14ac:dyDescent="0.25">
      <c r="A4980" s="4">
        <v>4975</v>
      </c>
      <c r="B4980" s="3" t="str">
        <f>"00409070"</f>
        <v>00409070</v>
      </c>
    </row>
    <row r="4981" spans="1:2" x14ac:dyDescent="0.25">
      <c r="A4981" s="4">
        <v>4976</v>
      </c>
      <c r="B4981" s="3" t="str">
        <f>"00409095"</f>
        <v>00409095</v>
      </c>
    </row>
    <row r="4982" spans="1:2" x14ac:dyDescent="0.25">
      <c r="A4982" s="4">
        <v>4977</v>
      </c>
      <c r="B4982" s="3" t="str">
        <f>"00409104"</f>
        <v>00409104</v>
      </c>
    </row>
    <row r="4983" spans="1:2" x14ac:dyDescent="0.25">
      <c r="A4983" s="4">
        <v>4978</v>
      </c>
      <c r="B4983" s="3" t="str">
        <f>"00409131"</f>
        <v>00409131</v>
      </c>
    </row>
    <row r="4984" spans="1:2" x14ac:dyDescent="0.25">
      <c r="A4984" s="4">
        <v>4979</v>
      </c>
      <c r="B4984" s="3" t="str">
        <f>"00409175"</f>
        <v>00409175</v>
      </c>
    </row>
    <row r="4985" spans="1:2" x14ac:dyDescent="0.25">
      <c r="A4985" s="4">
        <v>4980</v>
      </c>
      <c r="B4985" s="3" t="str">
        <f>"00409177"</f>
        <v>00409177</v>
      </c>
    </row>
    <row r="4986" spans="1:2" x14ac:dyDescent="0.25">
      <c r="A4986" s="4">
        <v>4981</v>
      </c>
      <c r="B4986" s="3" t="str">
        <f>"00409198"</f>
        <v>00409198</v>
      </c>
    </row>
    <row r="4987" spans="1:2" x14ac:dyDescent="0.25">
      <c r="A4987" s="4">
        <v>4982</v>
      </c>
      <c r="B4987" s="3" t="str">
        <f>"00409289"</f>
        <v>00409289</v>
      </c>
    </row>
    <row r="4988" spans="1:2" x14ac:dyDescent="0.25">
      <c r="A4988" s="4">
        <v>4983</v>
      </c>
      <c r="B4988" s="3" t="str">
        <f>"00409321"</f>
        <v>00409321</v>
      </c>
    </row>
    <row r="4989" spans="1:2" x14ac:dyDescent="0.25">
      <c r="A4989" s="4">
        <v>4984</v>
      </c>
      <c r="B4989" s="3" t="str">
        <f>"00409324"</f>
        <v>00409324</v>
      </c>
    </row>
    <row r="4990" spans="1:2" x14ac:dyDescent="0.25">
      <c r="A4990" s="4">
        <v>4985</v>
      </c>
      <c r="B4990" s="3" t="str">
        <f>"00409342"</f>
        <v>00409342</v>
      </c>
    </row>
    <row r="4991" spans="1:2" x14ac:dyDescent="0.25">
      <c r="A4991" s="4">
        <v>4986</v>
      </c>
      <c r="B4991" s="3" t="str">
        <f>"00409387"</f>
        <v>00409387</v>
      </c>
    </row>
    <row r="4992" spans="1:2" x14ac:dyDescent="0.25">
      <c r="A4992" s="4">
        <v>4987</v>
      </c>
      <c r="B4992" s="3" t="str">
        <f>"00409423"</f>
        <v>00409423</v>
      </c>
    </row>
    <row r="4993" spans="1:2" x14ac:dyDescent="0.25">
      <c r="A4993" s="4">
        <v>4988</v>
      </c>
      <c r="B4993" s="3" t="str">
        <f>"00409431"</f>
        <v>00409431</v>
      </c>
    </row>
    <row r="4994" spans="1:2" x14ac:dyDescent="0.25">
      <c r="A4994" s="4">
        <v>4989</v>
      </c>
      <c r="B4994" s="3" t="str">
        <f>"00409453"</f>
        <v>00409453</v>
      </c>
    </row>
    <row r="4995" spans="1:2" x14ac:dyDescent="0.25">
      <c r="A4995" s="4">
        <v>4990</v>
      </c>
      <c r="B4995" s="3" t="str">
        <f>"00409474"</f>
        <v>00409474</v>
      </c>
    </row>
    <row r="4996" spans="1:2" x14ac:dyDescent="0.25">
      <c r="A4996" s="4">
        <v>4991</v>
      </c>
      <c r="B4996" s="3" t="str">
        <f>"00409504"</f>
        <v>00409504</v>
      </c>
    </row>
    <row r="4997" spans="1:2" x14ac:dyDescent="0.25">
      <c r="A4997" s="4">
        <v>4992</v>
      </c>
      <c r="B4997" s="3" t="str">
        <f>"00409544"</f>
        <v>00409544</v>
      </c>
    </row>
    <row r="4998" spans="1:2" x14ac:dyDescent="0.25">
      <c r="A4998" s="4">
        <v>4993</v>
      </c>
      <c r="B4998" s="3" t="str">
        <f>"00409607"</f>
        <v>00409607</v>
      </c>
    </row>
    <row r="4999" spans="1:2" x14ac:dyDescent="0.25">
      <c r="A4999" s="4">
        <v>4994</v>
      </c>
      <c r="B4999" s="3" t="str">
        <f>"00409618"</f>
        <v>00409618</v>
      </c>
    </row>
    <row r="5000" spans="1:2" x14ac:dyDescent="0.25">
      <c r="A5000" s="4">
        <v>4995</v>
      </c>
      <c r="B5000" s="3" t="str">
        <f>"00409674"</f>
        <v>00409674</v>
      </c>
    </row>
    <row r="5001" spans="1:2" x14ac:dyDescent="0.25">
      <c r="A5001" s="4">
        <v>4996</v>
      </c>
      <c r="B5001" s="3" t="str">
        <f>"00409826"</f>
        <v>00409826</v>
      </c>
    </row>
    <row r="5002" spans="1:2" x14ac:dyDescent="0.25">
      <c r="A5002" s="4">
        <v>4997</v>
      </c>
      <c r="B5002" s="19" t="s">
        <v>11</v>
      </c>
    </row>
    <row r="5003" spans="1:2" x14ac:dyDescent="0.25">
      <c r="A5003" s="4">
        <v>4998</v>
      </c>
      <c r="B5003" s="3" t="str">
        <f>"00409906"</f>
        <v>00409906</v>
      </c>
    </row>
    <row r="5004" spans="1:2" x14ac:dyDescent="0.25">
      <c r="A5004" s="4">
        <v>4999</v>
      </c>
      <c r="B5004" s="3" t="str">
        <f>"00409917"</f>
        <v>00409917</v>
      </c>
    </row>
    <row r="5005" spans="1:2" x14ac:dyDescent="0.25">
      <c r="A5005" s="4">
        <v>5000</v>
      </c>
      <c r="B5005" s="3" t="str">
        <f>"00410023"</f>
        <v>00410023</v>
      </c>
    </row>
    <row r="5006" spans="1:2" x14ac:dyDescent="0.25">
      <c r="A5006" s="4">
        <v>5001</v>
      </c>
      <c r="B5006" s="3" t="str">
        <f>"00410265"</f>
        <v>00410265</v>
      </c>
    </row>
    <row r="5007" spans="1:2" x14ac:dyDescent="0.25">
      <c r="A5007" s="4">
        <v>5002</v>
      </c>
      <c r="B5007" s="3" t="str">
        <f>"00410433"</f>
        <v>00410433</v>
      </c>
    </row>
    <row r="5008" spans="1:2" x14ac:dyDescent="0.25">
      <c r="A5008" s="4">
        <v>5003</v>
      </c>
      <c r="B5008" s="3" t="str">
        <f>"00410480"</f>
        <v>00410480</v>
      </c>
    </row>
    <row r="5009" spans="1:2" x14ac:dyDescent="0.25">
      <c r="A5009" s="4">
        <v>5004</v>
      </c>
      <c r="B5009" s="3" t="str">
        <f>"00410490"</f>
        <v>00410490</v>
      </c>
    </row>
    <row r="5010" spans="1:2" x14ac:dyDescent="0.25">
      <c r="A5010" s="4">
        <v>5005</v>
      </c>
      <c r="B5010" s="3" t="str">
        <f>"00410498"</f>
        <v>00410498</v>
      </c>
    </row>
    <row r="5011" spans="1:2" x14ac:dyDescent="0.25">
      <c r="A5011" s="4">
        <v>5006</v>
      </c>
      <c r="B5011" s="3" t="str">
        <f>"00410593"</f>
        <v>00410593</v>
      </c>
    </row>
    <row r="5012" spans="1:2" x14ac:dyDescent="0.25">
      <c r="A5012" s="4">
        <v>5007</v>
      </c>
      <c r="B5012" s="3" t="str">
        <f>"00410594"</f>
        <v>00410594</v>
      </c>
    </row>
    <row r="5013" spans="1:2" x14ac:dyDescent="0.25">
      <c r="A5013" s="4">
        <v>5008</v>
      </c>
      <c r="B5013" s="3" t="str">
        <f>"00410641"</f>
        <v>00410641</v>
      </c>
    </row>
    <row r="5014" spans="1:2" x14ac:dyDescent="0.25">
      <c r="A5014" s="4">
        <v>5009</v>
      </c>
      <c r="B5014" s="3" t="str">
        <f>"00410658"</f>
        <v>00410658</v>
      </c>
    </row>
    <row r="5015" spans="1:2" x14ac:dyDescent="0.25">
      <c r="A5015" s="4">
        <v>5010</v>
      </c>
      <c r="B5015" s="3" t="str">
        <f>"00410767"</f>
        <v>00410767</v>
      </c>
    </row>
    <row r="5016" spans="1:2" x14ac:dyDescent="0.25">
      <c r="A5016" s="4">
        <v>5011</v>
      </c>
      <c r="B5016" s="3" t="str">
        <f>"00410776"</f>
        <v>00410776</v>
      </c>
    </row>
    <row r="5017" spans="1:2" x14ac:dyDescent="0.25">
      <c r="A5017" s="4">
        <v>5012</v>
      </c>
      <c r="B5017" s="3" t="str">
        <f>"00410815"</f>
        <v>00410815</v>
      </c>
    </row>
    <row r="5018" spans="1:2" x14ac:dyDescent="0.25">
      <c r="A5018" s="4">
        <v>5013</v>
      </c>
      <c r="B5018" s="3" t="str">
        <f>"00410817"</f>
        <v>00410817</v>
      </c>
    </row>
    <row r="5019" spans="1:2" x14ac:dyDescent="0.25">
      <c r="A5019" s="4">
        <v>5014</v>
      </c>
      <c r="B5019" s="3" t="str">
        <f>"00410853"</f>
        <v>00410853</v>
      </c>
    </row>
    <row r="5020" spans="1:2" x14ac:dyDescent="0.25">
      <c r="A5020" s="4">
        <v>5015</v>
      </c>
      <c r="B5020" s="3" t="str">
        <f>"00410880"</f>
        <v>00410880</v>
      </c>
    </row>
    <row r="5021" spans="1:2" x14ac:dyDescent="0.25">
      <c r="A5021" s="4">
        <v>5016</v>
      </c>
      <c r="B5021" s="3" t="str">
        <f>"00410956"</f>
        <v>00410956</v>
      </c>
    </row>
    <row r="5022" spans="1:2" x14ac:dyDescent="0.25">
      <c r="A5022" s="4">
        <v>5017</v>
      </c>
      <c r="B5022" s="3" t="str">
        <f>"00410987"</f>
        <v>00410987</v>
      </c>
    </row>
    <row r="5023" spans="1:2" x14ac:dyDescent="0.25">
      <c r="A5023" s="4">
        <v>5018</v>
      </c>
      <c r="B5023" s="3" t="str">
        <f>"00411035"</f>
        <v>00411035</v>
      </c>
    </row>
    <row r="5024" spans="1:2" x14ac:dyDescent="0.25">
      <c r="A5024" s="4">
        <v>5019</v>
      </c>
      <c r="B5024" s="3" t="str">
        <f>"00411069"</f>
        <v>00411069</v>
      </c>
    </row>
    <row r="5025" spans="1:2" x14ac:dyDescent="0.25">
      <c r="A5025" s="4">
        <v>5020</v>
      </c>
      <c r="B5025" s="3" t="str">
        <f>"00411151"</f>
        <v>00411151</v>
      </c>
    </row>
    <row r="5026" spans="1:2" x14ac:dyDescent="0.25">
      <c r="A5026" s="4">
        <v>5021</v>
      </c>
      <c r="B5026" s="3" t="str">
        <f>"00411202"</f>
        <v>00411202</v>
      </c>
    </row>
    <row r="5027" spans="1:2" x14ac:dyDescent="0.25">
      <c r="A5027" s="4">
        <v>5022</v>
      </c>
      <c r="B5027" s="3" t="str">
        <f>"00411245"</f>
        <v>00411245</v>
      </c>
    </row>
    <row r="5028" spans="1:2" x14ac:dyDescent="0.25">
      <c r="A5028" s="4">
        <v>5023</v>
      </c>
      <c r="B5028" s="3" t="str">
        <f>"00411292"</f>
        <v>00411292</v>
      </c>
    </row>
    <row r="5029" spans="1:2" x14ac:dyDescent="0.25">
      <c r="A5029" s="4">
        <v>5024</v>
      </c>
      <c r="B5029" s="3" t="str">
        <f>"00411360"</f>
        <v>00411360</v>
      </c>
    </row>
    <row r="5030" spans="1:2" x14ac:dyDescent="0.25">
      <c r="A5030" s="4">
        <v>5025</v>
      </c>
      <c r="B5030" s="3" t="str">
        <f>"00411408"</f>
        <v>00411408</v>
      </c>
    </row>
    <row r="5031" spans="1:2" x14ac:dyDescent="0.25">
      <c r="A5031" s="4">
        <v>5026</v>
      </c>
      <c r="B5031" s="3" t="str">
        <f>"00411430"</f>
        <v>00411430</v>
      </c>
    </row>
    <row r="5032" spans="1:2" x14ac:dyDescent="0.25">
      <c r="A5032" s="4">
        <v>5027</v>
      </c>
      <c r="B5032" s="3" t="str">
        <f>"00411438"</f>
        <v>00411438</v>
      </c>
    </row>
    <row r="5033" spans="1:2" x14ac:dyDescent="0.25">
      <c r="A5033" s="4">
        <v>5028</v>
      </c>
      <c r="B5033" s="3" t="str">
        <f>"00411442"</f>
        <v>00411442</v>
      </c>
    </row>
    <row r="5034" spans="1:2" x14ac:dyDescent="0.25">
      <c r="A5034" s="4">
        <v>5029</v>
      </c>
      <c r="B5034" s="3" t="str">
        <f>"00411605"</f>
        <v>00411605</v>
      </c>
    </row>
    <row r="5035" spans="1:2" x14ac:dyDescent="0.25">
      <c r="A5035" s="4">
        <v>5030</v>
      </c>
      <c r="B5035" s="3" t="str">
        <f>"00411621"</f>
        <v>00411621</v>
      </c>
    </row>
    <row r="5036" spans="1:2" x14ac:dyDescent="0.25">
      <c r="A5036" s="4">
        <v>5031</v>
      </c>
      <c r="B5036" s="3" t="str">
        <f>"00415232"</f>
        <v>00415232</v>
      </c>
    </row>
    <row r="5037" spans="1:2" x14ac:dyDescent="0.25">
      <c r="A5037" s="4">
        <v>5032</v>
      </c>
      <c r="B5037" s="3" t="str">
        <f>"00415247"</f>
        <v>00415247</v>
      </c>
    </row>
    <row r="5038" spans="1:2" x14ac:dyDescent="0.25">
      <c r="A5038" s="4">
        <v>5033</v>
      </c>
      <c r="B5038" s="3" t="str">
        <f>"00415257"</f>
        <v>00415257</v>
      </c>
    </row>
    <row r="5039" spans="1:2" x14ac:dyDescent="0.25">
      <c r="A5039" s="4">
        <v>5034</v>
      </c>
      <c r="B5039" s="3" t="str">
        <f>"00415296"</f>
        <v>00415296</v>
      </c>
    </row>
    <row r="5040" spans="1:2" x14ac:dyDescent="0.25">
      <c r="A5040" s="4">
        <v>5035</v>
      </c>
      <c r="B5040" s="3" t="str">
        <f>"00415298"</f>
        <v>00415298</v>
      </c>
    </row>
    <row r="5041" spans="1:2" x14ac:dyDescent="0.25">
      <c r="A5041" s="4">
        <v>5036</v>
      </c>
      <c r="B5041" s="3" t="str">
        <f>"00415315"</f>
        <v>00415315</v>
      </c>
    </row>
    <row r="5042" spans="1:2" x14ac:dyDescent="0.25">
      <c r="A5042" s="4">
        <v>5037</v>
      </c>
      <c r="B5042" s="3" t="str">
        <f>"00415406"</f>
        <v>00415406</v>
      </c>
    </row>
    <row r="5043" spans="1:2" x14ac:dyDescent="0.25">
      <c r="A5043" s="4">
        <v>5038</v>
      </c>
      <c r="B5043" s="3" t="str">
        <f>"00415433"</f>
        <v>00415433</v>
      </c>
    </row>
    <row r="5044" spans="1:2" x14ac:dyDescent="0.25">
      <c r="A5044" s="4">
        <v>5039</v>
      </c>
      <c r="B5044" s="3" t="str">
        <f>"00415454"</f>
        <v>00415454</v>
      </c>
    </row>
    <row r="5045" spans="1:2" x14ac:dyDescent="0.25">
      <c r="A5045" s="4">
        <v>5040</v>
      </c>
      <c r="B5045" s="3" t="str">
        <f>"00415460"</f>
        <v>00415460</v>
      </c>
    </row>
    <row r="5046" spans="1:2" x14ac:dyDescent="0.25">
      <c r="A5046" s="4">
        <v>5041</v>
      </c>
      <c r="B5046" s="3" t="str">
        <f>"00415487"</f>
        <v>00415487</v>
      </c>
    </row>
    <row r="5047" spans="1:2" x14ac:dyDescent="0.25">
      <c r="A5047" s="4">
        <v>5042</v>
      </c>
      <c r="B5047" s="3" t="str">
        <f>"00415619"</f>
        <v>00415619</v>
      </c>
    </row>
    <row r="5048" spans="1:2" x14ac:dyDescent="0.25">
      <c r="A5048" s="4">
        <v>5043</v>
      </c>
      <c r="B5048" s="3" t="str">
        <f>"00415646"</f>
        <v>00415646</v>
      </c>
    </row>
    <row r="5049" spans="1:2" x14ac:dyDescent="0.25">
      <c r="A5049" s="4">
        <v>5044</v>
      </c>
      <c r="B5049" s="3" t="str">
        <f>"00415665"</f>
        <v>00415665</v>
      </c>
    </row>
    <row r="5050" spans="1:2" x14ac:dyDescent="0.25">
      <c r="A5050" s="4">
        <v>5045</v>
      </c>
      <c r="B5050" s="3" t="str">
        <f>"00415699"</f>
        <v>00415699</v>
      </c>
    </row>
    <row r="5051" spans="1:2" x14ac:dyDescent="0.25">
      <c r="A5051" s="4">
        <v>5046</v>
      </c>
      <c r="B5051" s="3" t="str">
        <f>"00415805"</f>
        <v>00415805</v>
      </c>
    </row>
    <row r="5052" spans="1:2" x14ac:dyDescent="0.25">
      <c r="A5052" s="4">
        <v>5047</v>
      </c>
      <c r="B5052" s="3" t="str">
        <f>"00415850"</f>
        <v>00415850</v>
      </c>
    </row>
    <row r="5053" spans="1:2" x14ac:dyDescent="0.25">
      <c r="A5053" s="4">
        <v>5048</v>
      </c>
      <c r="B5053" s="3" t="str">
        <f>"00415942"</f>
        <v>00415942</v>
      </c>
    </row>
    <row r="5054" spans="1:2" x14ac:dyDescent="0.25">
      <c r="A5054" s="4">
        <v>5049</v>
      </c>
      <c r="B5054" s="3" t="str">
        <f>"00416045"</f>
        <v>00416045</v>
      </c>
    </row>
    <row r="5055" spans="1:2" x14ac:dyDescent="0.25">
      <c r="A5055" s="4">
        <v>5050</v>
      </c>
      <c r="B5055" s="3" t="str">
        <f>"00416123"</f>
        <v>00416123</v>
      </c>
    </row>
    <row r="5056" spans="1:2" x14ac:dyDescent="0.25">
      <c r="A5056" s="4">
        <v>5051</v>
      </c>
      <c r="B5056" s="3" t="str">
        <f>"00416144"</f>
        <v>00416144</v>
      </c>
    </row>
    <row r="5057" spans="1:2" x14ac:dyDescent="0.25">
      <c r="A5057" s="4">
        <v>5052</v>
      </c>
      <c r="B5057" s="3" t="str">
        <f>"00416152"</f>
        <v>00416152</v>
      </c>
    </row>
    <row r="5058" spans="1:2" x14ac:dyDescent="0.25">
      <c r="A5058" s="4">
        <v>5053</v>
      </c>
      <c r="B5058" s="3" t="str">
        <f>"00416167"</f>
        <v>00416167</v>
      </c>
    </row>
    <row r="5059" spans="1:2" x14ac:dyDescent="0.25">
      <c r="A5059" s="4">
        <v>5054</v>
      </c>
      <c r="B5059" s="19" t="s">
        <v>6</v>
      </c>
    </row>
    <row r="5060" spans="1:2" x14ac:dyDescent="0.25">
      <c r="A5060" s="4">
        <v>5055</v>
      </c>
      <c r="B5060" s="3" t="str">
        <f>"00416217"</f>
        <v>00416217</v>
      </c>
    </row>
    <row r="5061" spans="1:2" x14ac:dyDescent="0.25">
      <c r="A5061" s="4">
        <v>5056</v>
      </c>
      <c r="B5061" s="3" t="str">
        <f>"00416254"</f>
        <v>00416254</v>
      </c>
    </row>
    <row r="5062" spans="1:2" x14ac:dyDescent="0.25">
      <c r="A5062" s="4">
        <v>5057</v>
      </c>
      <c r="B5062" s="3" t="str">
        <f>"00416383"</f>
        <v>00416383</v>
      </c>
    </row>
    <row r="5063" spans="1:2" x14ac:dyDescent="0.25">
      <c r="A5063" s="4">
        <v>5058</v>
      </c>
      <c r="B5063" s="3" t="str">
        <f>"00416397"</f>
        <v>00416397</v>
      </c>
    </row>
    <row r="5064" spans="1:2" x14ac:dyDescent="0.25">
      <c r="A5064" s="4">
        <v>5059</v>
      </c>
      <c r="B5064" s="3" t="str">
        <f>"00416422"</f>
        <v>00416422</v>
      </c>
    </row>
    <row r="5065" spans="1:2" x14ac:dyDescent="0.25">
      <c r="A5065" s="4">
        <v>5060</v>
      </c>
      <c r="B5065" s="3" t="str">
        <f>"00416499"</f>
        <v>00416499</v>
      </c>
    </row>
    <row r="5066" spans="1:2" x14ac:dyDescent="0.25">
      <c r="A5066" s="4">
        <v>5061</v>
      </c>
      <c r="B5066" s="3" t="str">
        <f>"00416539"</f>
        <v>00416539</v>
      </c>
    </row>
    <row r="5067" spans="1:2" x14ac:dyDescent="0.25">
      <c r="A5067" s="4">
        <v>5062</v>
      </c>
      <c r="B5067" s="3" t="str">
        <f>"00416615"</f>
        <v>00416615</v>
      </c>
    </row>
    <row r="5068" spans="1:2" x14ac:dyDescent="0.25">
      <c r="A5068" s="4">
        <v>5063</v>
      </c>
      <c r="B5068" s="3" t="str">
        <f>"00416626"</f>
        <v>00416626</v>
      </c>
    </row>
    <row r="5069" spans="1:2" x14ac:dyDescent="0.25">
      <c r="A5069" s="4">
        <v>5064</v>
      </c>
      <c r="B5069" s="3" t="str">
        <f>"00416651"</f>
        <v>00416651</v>
      </c>
    </row>
    <row r="5070" spans="1:2" x14ac:dyDescent="0.25">
      <c r="A5070" s="4">
        <v>5065</v>
      </c>
      <c r="B5070" s="3" t="str">
        <f>"00416686"</f>
        <v>00416686</v>
      </c>
    </row>
    <row r="5071" spans="1:2" x14ac:dyDescent="0.25">
      <c r="A5071" s="4">
        <v>5066</v>
      </c>
      <c r="B5071" s="3" t="str">
        <f>"00416767"</f>
        <v>00416767</v>
      </c>
    </row>
    <row r="5072" spans="1:2" x14ac:dyDescent="0.25">
      <c r="A5072" s="4">
        <v>5067</v>
      </c>
      <c r="B5072" s="3" t="str">
        <f>"00416791"</f>
        <v>00416791</v>
      </c>
    </row>
    <row r="5073" spans="1:2" x14ac:dyDescent="0.25">
      <c r="A5073" s="4">
        <v>5068</v>
      </c>
      <c r="B5073" s="3" t="str">
        <f>"00416844"</f>
        <v>00416844</v>
      </c>
    </row>
    <row r="5074" spans="1:2" x14ac:dyDescent="0.25">
      <c r="A5074" s="4">
        <v>5069</v>
      </c>
      <c r="B5074" s="3" t="str">
        <f>"00416847"</f>
        <v>00416847</v>
      </c>
    </row>
    <row r="5075" spans="1:2" x14ac:dyDescent="0.25">
      <c r="A5075" s="4">
        <v>5070</v>
      </c>
      <c r="B5075" s="3" t="str">
        <f>"00416871"</f>
        <v>00416871</v>
      </c>
    </row>
    <row r="5076" spans="1:2" x14ac:dyDescent="0.25">
      <c r="A5076" s="4">
        <v>5071</v>
      </c>
      <c r="B5076" s="3" t="str">
        <f>"00416879"</f>
        <v>00416879</v>
      </c>
    </row>
    <row r="5077" spans="1:2" x14ac:dyDescent="0.25">
      <c r="A5077" s="4">
        <v>5072</v>
      </c>
      <c r="B5077" s="3" t="str">
        <f>"00417100"</f>
        <v>00417100</v>
      </c>
    </row>
    <row r="5078" spans="1:2" x14ac:dyDescent="0.25">
      <c r="A5078" s="4">
        <v>5073</v>
      </c>
      <c r="B5078" s="3" t="str">
        <f>"00417116"</f>
        <v>00417116</v>
      </c>
    </row>
    <row r="5079" spans="1:2" x14ac:dyDescent="0.25">
      <c r="A5079" s="4">
        <v>5074</v>
      </c>
      <c r="B5079" s="3" t="str">
        <f>"00417154"</f>
        <v>00417154</v>
      </c>
    </row>
    <row r="5080" spans="1:2" x14ac:dyDescent="0.25">
      <c r="A5080" s="4">
        <v>5075</v>
      </c>
      <c r="B5080" s="3" t="str">
        <f>"00417217"</f>
        <v>00417217</v>
      </c>
    </row>
    <row r="5081" spans="1:2" x14ac:dyDescent="0.25">
      <c r="A5081" s="4">
        <v>5076</v>
      </c>
      <c r="B5081" s="3" t="str">
        <f>"00417230"</f>
        <v>00417230</v>
      </c>
    </row>
    <row r="5082" spans="1:2" x14ac:dyDescent="0.25">
      <c r="A5082" s="4">
        <v>5077</v>
      </c>
      <c r="B5082" s="3" t="str">
        <f>"00417257"</f>
        <v>00417257</v>
      </c>
    </row>
    <row r="5083" spans="1:2" x14ac:dyDescent="0.25">
      <c r="A5083" s="4">
        <v>5078</v>
      </c>
      <c r="B5083" s="3" t="str">
        <f>"00417285"</f>
        <v>00417285</v>
      </c>
    </row>
    <row r="5084" spans="1:2" x14ac:dyDescent="0.25">
      <c r="A5084" s="4">
        <v>5079</v>
      </c>
      <c r="B5084" s="3" t="str">
        <f>"00417330"</f>
        <v>00417330</v>
      </c>
    </row>
    <row r="5085" spans="1:2" x14ac:dyDescent="0.25">
      <c r="A5085" s="4">
        <v>5080</v>
      </c>
      <c r="B5085" s="3" t="str">
        <f>"00417375"</f>
        <v>00417375</v>
      </c>
    </row>
    <row r="5086" spans="1:2" x14ac:dyDescent="0.25">
      <c r="A5086" s="4">
        <v>5081</v>
      </c>
      <c r="B5086" s="3" t="str">
        <f>"00417417"</f>
        <v>00417417</v>
      </c>
    </row>
    <row r="5087" spans="1:2" x14ac:dyDescent="0.25">
      <c r="A5087" s="4">
        <v>5082</v>
      </c>
      <c r="B5087" s="3" t="str">
        <f>"00417437"</f>
        <v>00417437</v>
      </c>
    </row>
    <row r="5088" spans="1:2" x14ac:dyDescent="0.25">
      <c r="A5088" s="4">
        <v>5083</v>
      </c>
      <c r="B5088" s="3" t="str">
        <f>"00417472"</f>
        <v>00417472</v>
      </c>
    </row>
    <row r="5089" spans="1:2" x14ac:dyDescent="0.25">
      <c r="A5089" s="4">
        <v>5084</v>
      </c>
      <c r="B5089" s="3" t="str">
        <f>"00417493"</f>
        <v>00417493</v>
      </c>
    </row>
    <row r="5090" spans="1:2" x14ac:dyDescent="0.25">
      <c r="A5090" s="4">
        <v>5085</v>
      </c>
      <c r="B5090" s="3" t="str">
        <f>"00417514"</f>
        <v>00417514</v>
      </c>
    </row>
    <row r="5091" spans="1:2" x14ac:dyDescent="0.25">
      <c r="A5091" s="4">
        <v>5086</v>
      </c>
      <c r="B5091" s="3" t="str">
        <f>"00417563"</f>
        <v>00417563</v>
      </c>
    </row>
    <row r="5092" spans="1:2" x14ac:dyDescent="0.25">
      <c r="A5092" s="4">
        <v>5087</v>
      </c>
      <c r="B5092" s="3" t="str">
        <f>"00417569"</f>
        <v>00417569</v>
      </c>
    </row>
    <row r="5093" spans="1:2" x14ac:dyDescent="0.25">
      <c r="A5093" s="4">
        <v>5088</v>
      </c>
      <c r="B5093" s="3" t="str">
        <f>"00417685"</f>
        <v>00417685</v>
      </c>
    </row>
    <row r="5094" spans="1:2" x14ac:dyDescent="0.25">
      <c r="A5094" s="4">
        <v>5089</v>
      </c>
      <c r="B5094" s="3" t="str">
        <f>"00417696"</f>
        <v>00417696</v>
      </c>
    </row>
    <row r="5095" spans="1:2" x14ac:dyDescent="0.25">
      <c r="A5095" s="4">
        <v>5090</v>
      </c>
      <c r="B5095" s="3" t="str">
        <f>"00417705"</f>
        <v>00417705</v>
      </c>
    </row>
    <row r="5096" spans="1:2" x14ac:dyDescent="0.25">
      <c r="A5096" s="4">
        <v>5091</v>
      </c>
      <c r="B5096" s="3" t="str">
        <f>"00417737"</f>
        <v>00417737</v>
      </c>
    </row>
    <row r="5097" spans="1:2" x14ac:dyDescent="0.25">
      <c r="A5097" s="4">
        <v>5092</v>
      </c>
      <c r="B5097" s="3" t="str">
        <f>"00417766"</f>
        <v>00417766</v>
      </c>
    </row>
    <row r="5098" spans="1:2" x14ac:dyDescent="0.25">
      <c r="A5098" s="4">
        <v>5093</v>
      </c>
      <c r="B5098" s="3" t="str">
        <f>"00417808"</f>
        <v>00417808</v>
      </c>
    </row>
    <row r="5099" spans="1:2" x14ac:dyDescent="0.25">
      <c r="A5099" s="4">
        <v>5094</v>
      </c>
      <c r="B5099" s="3" t="str">
        <f>"00417833"</f>
        <v>00417833</v>
      </c>
    </row>
    <row r="5100" spans="1:2" x14ac:dyDescent="0.25">
      <c r="A5100" s="4">
        <v>5095</v>
      </c>
      <c r="B5100" s="3" t="str">
        <f>"00418033"</f>
        <v>00418033</v>
      </c>
    </row>
    <row r="5101" spans="1:2" x14ac:dyDescent="0.25">
      <c r="A5101" s="4">
        <v>5096</v>
      </c>
      <c r="B5101" s="3" t="str">
        <f>"00418055"</f>
        <v>00418055</v>
      </c>
    </row>
    <row r="5102" spans="1:2" x14ac:dyDescent="0.25">
      <c r="A5102" s="4">
        <v>5097</v>
      </c>
      <c r="B5102" s="3" t="str">
        <f>"00418111"</f>
        <v>00418111</v>
      </c>
    </row>
    <row r="5103" spans="1:2" x14ac:dyDescent="0.25">
      <c r="A5103" s="4">
        <v>5098</v>
      </c>
      <c r="B5103" s="3" t="str">
        <f>"00418185"</f>
        <v>00418185</v>
      </c>
    </row>
    <row r="5104" spans="1:2" x14ac:dyDescent="0.25">
      <c r="A5104" s="4">
        <v>5099</v>
      </c>
      <c r="B5104" s="3" t="str">
        <f>"00418194"</f>
        <v>00418194</v>
      </c>
    </row>
    <row r="5105" spans="1:2" x14ac:dyDescent="0.25">
      <c r="A5105" s="4">
        <v>5100</v>
      </c>
      <c r="B5105" s="3" t="str">
        <f>"00418264"</f>
        <v>00418264</v>
      </c>
    </row>
    <row r="5106" spans="1:2" x14ac:dyDescent="0.25">
      <c r="A5106" s="4">
        <v>5101</v>
      </c>
      <c r="B5106" s="3" t="str">
        <f>"00418297"</f>
        <v>00418297</v>
      </c>
    </row>
    <row r="5107" spans="1:2" x14ac:dyDescent="0.25">
      <c r="A5107" s="4">
        <v>5102</v>
      </c>
      <c r="B5107" s="3" t="str">
        <f>"00418373"</f>
        <v>00418373</v>
      </c>
    </row>
    <row r="5108" spans="1:2" x14ac:dyDescent="0.25">
      <c r="A5108" s="4">
        <v>5103</v>
      </c>
      <c r="B5108" s="3" t="str">
        <f>"00418394"</f>
        <v>00418394</v>
      </c>
    </row>
    <row r="5109" spans="1:2" x14ac:dyDescent="0.25">
      <c r="A5109" s="4">
        <v>5104</v>
      </c>
      <c r="B5109" s="3" t="str">
        <f>"00418470"</f>
        <v>00418470</v>
      </c>
    </row>
    <row r="5110" spans="1:2" x14ac:dyDescent="0.25">
      <c r="A5110" s="4">
        <v>5105</v>
      </c>
      <c r="B5110" s="3" t="str">
        <f>"00418607"</f>
        <v>00418607</v>
      </c>
    </row>
    <row r="5111" spans="1:2" x14ac:dyDescent="0.25">
      <c r="A5111" s="4">
        <v>5106</v>
      </c>
      <c r="B5111" s="3" t="str">
        <f>"00418618"</f>
        <v>00418618</v>
      </c>
    </row>
    <row r="5112" spans="1:2" x14ac:dyDescent="0.25">
      <c r="A5112" s="4">
        <v>5107</v>
      </c>
      <c r="B5112" s="3" t="str">
        <f>"00418677"</f>
        <v>00418677</v>
      </c>
    </row>
    <row r="5113" spans="1:2" x14ac:dyDescent="0.25">
      <c r="A5113" s="4">
        <v>5108</v>
      </c>
      <c r="B5113" s="3" t="str">
        <f>"00418772"</f>
        <v>00418772</v>
      </c>
    </row>
    <row r="5114" spans="1:2" x14ac:dyDescent="0.25">
      <c r="A5114" s="4">
        <v>5109</v>
      </c>
      <c r="B5114" s="3" t="str">
        <f>"00418783"</f>
        <v>00418783</v>
      </c>
    </row>
    <row r="5115" spans="1:2" x14ac:dyDescent="0.25">
      <c r="A5115" s="4">
        <v>5110</v>
      </c>
      <c r="B5115" s="3" t="str">
        <f>"00418796"</f>
        <v>00418796</v>
      </c>
    </row>
    <row r="5116" spans="1:2" x14ac:dyDescent="0.25">
      <c r="A5116" s="4">
        <v>5111</v>
      </c>
      <c r="B5116" s="3" t="str">
        <f>"00418931"</f>
        <v>00418931</v>
      </c>
    </row>
    <row r="5117" spans="1:2" x14ac:dyDescent="0.25">
      <c r="A5117" s="4">
        <v>5112</v>
      </c>
      <c r="B5117" s="3" t="str">
        <f>"00419062"</f>
        <v>00419062</v>
      </c>
    </row>
    <row r="5118" spans="1:2" x14ac:dyDescent="0.25">
      <c r="A5118" s="4">
        <v>5113</v>
      </c>
      <c r="B5118" s="3" t="str">
        <f>"00419148"</f>
        <v>00419148</v>
      </c>
    </row>
    <row r="5119" spans="1:2" x14ac:dyDescent="0.25">
      <c r="A5119" s="4">
        <v>5114</v>
      </c>
      <c r="B5119" s="3" t="str">
        <f>"00419151"</f>
        <v>00419151</v>
      </c>
    </row>
    <row r="5120" spans="1:2" x14ac:dyDescent="0.25">
      <c r="A5120" s="4">
        <v>5115</v>
      </c>
      <c r="B5120" s="3" t="str">
        <f>"00419281"</f>
        <v>00419281</v>
      </c>
    </row>
    <row r="5121" spans="1:2" x14ac:dyDescent="0.25">
      <c r="A5121" s="4">
        <v>5116</v>
      </c>
      <c r="B5121" s="3" t="str">
        <f>"00419294"</f>
        <v>00419294</v>
      </c>
    </row>
    <row r="5122" spans="1:2" x14ac:dyDescent="0.25">
      <c r="A5122" s="4">
        <v>5117</v>
      </c>
      <c r="B5122" s="3" t="str">
        <f>"00419302"</f>
        <v>00419302</v>
      </c>
    </row>
    <row r="5123" spans="1:2" x14ac:dyDescent="0.25">
      <c r="A5123" s="4">
        <v>5118</v>
      </c>
      <c r="B5123" s="3" t="str">
        <f>"00419359"</f>
        <v>00419359</v>
      </c>
    </row>
    <row r="5124" spans="1:2" x14ac:dyDescent="0.25">
      <c r="A5124" s="4">
        <v>5119</v>
      </c>
      <c r="B5124" s="3" t="str">
        <f>"00419440"</f>
        <v>00419440</v>
      </c>
    </row>
    <row r="5125" spans="1:2" x14ac:dyDescent="0.25">
      <c r="A5125" s="4">
        <v>5120</v>
      </c>
      <c r="B5125" s="3" t="str">
        <f>"00419446"</f>
        <v>00419446</v>
      </c>
    </row>
    <row r="5126" spans="1:2" x14ac:dyDescent="0.25">
      <c r="A5126" s="4">
        <v>5121</v>
      </c>
      <c r="B5126" s="3" t="str">
        <f>"00419451"</f>
        <v>00419451</v>
      </c>
    </row>
    <row r="5127" spans="1:2" x14ac:dyDescent="0.25">
      <c r="A5127" s="4">
        <v>5122</v>
      </c>
      <c r="B5127" s="3" t="str">
        <f>"00419612"</f>
        <v>00419612</v>
      </c>
    </row>
    <row r="5128" spans="1:2" x14ac:dyDescent="0.25">
      <c r="A5128" s="4">
        <v>5123</v>
      </c>
      <c r="B5128" s="3" t="str">
        <f>"00419619"</f>
        <v>00419619</v>
      </c>
    </row>
    <row r="5129" spans="1:2" x14ac:dyDescent="0.25">
      <c r="A5129" s="4">
        <v>5124</v>
      </c>
      <c r="B5129" s="3" t="str">
        <f>"00419638"</f>
        <v>00419638</v>
      </c>
    </row>
    <row r="5130" spans="1:2" x14ac:dyDescent="0.25">
      <c r="A5130" s="4">
        <v>5125</v>
      </c>
      <c r="B5130" s="3" t="str">
        <f>"00419639"</f>
        <v>00419639</v>
      </c>
    </row>
    <row r="5131" spans="1:2" x14ac:dyDescent="0.25">
      <c r="A5131" s="4">
        <v>5126</v>
      </c>
      <c r="B5131" s="3" t="str">
        <f>"00419712"</f>
        <v>00419712</v>
      </c>
    </row>
    <row r="5132" spans="1:2" x14ac:dyDescent="0.25">
      <c r="A5132" s="4">
        <v>5127</v>
      </c>
      <c r="B5132" s="3" t="str">
        <f>"00419727"</f>
        <v>00419727</v>
      </c>
    </row>
    <row r="5133" spans="1:2" x14ac:dyDescent="0.25">
      <c r="A5133" s="4">
        <v>5128</v>
      </c>
      <c r="B5133" s="3" t="str">
        <f>"00419918"</f>
        <v>00419918</v>
      </c>
    </row>
    <row r="5134" spans="1:2" x14ac:dyDescent="0.25">
      <c r="A5134" s="4">
        <v>5129</v>
      </c>
      <c r="B5134" s="3" t="str">
        <f>"00419960"</f>
        <v>00419960</v>
      </c>
    </row>
    <row r="5135" spans="1:2" x14ac:dyDescent="0.25">
      <c r="A5135" s="4">
        <v>5130</v>
      </c>
      <c r="B5135" s="3" t="str">
        <f>"00419988"</f>
        <v>00419988</v>
      </c>
    </row>
    <row r="5136" spans="1:2" x14ac:dyDescent="0.25">
      <c r="A5136" s="4">
        <v>5131</v>
      </c>
      <c r="B5136" s="3" t="str">
        <f>"00419997"</f>
        <v>00419997</v>
      </c>
    </row>
    <row r="5137" spans="1:2" x14ac:dyDescent="0.25">
      <c r="A5137" s="4">
        <v>5132</v>
      </c>
      <c r="B5137" s="3" t="str">
        <f>"00420121"</f>
        <v>00420121</v>
      </c>
    </row>
    <row r="5138" spans="1:2" x14ac:dyDescent="0.25">
      <c r="A5138" s="4">
        <v>5133</v>
      </c>
      <c r="B5138" s="3" t="str">
        <f>"00420167"</f>
        <v>00420167</v>
      </c>
    </row>
    <row r="5139" spans="1:2" x14ac:dyDescent="0.25">
      <c r="A5139" s="4">
        <v>5134</v>
      </c>
      <c r="B5139" s="3" t="str">
        <f>"00420309"</f>
        <v>00420309</v>
      </c>
    </row>
    <row r="5140" spans="1:2" x14ac:dyDescent="0.25">
      <c r="A5140" s="4">
        <v>5135</v>
      </c>
      <c r="B5140" s="3" t="str">
        <f>"00420316"</f>
        <v>00420316</v>
      </c>
    </row>
    <row r="5141" spans="1:2" x14ac:dyDescent="0.25">
      <c r="A5141" s="4">
        <v>5136</v>
      </c>
      <c r="B5141" s="3" t="str">
        <f>"00420334"</f>
        <v>00420334</v>
      </c>
    </row>
    <row r="5142" spans="1:2" x14ac:dyDescent="0.25">
      <c r="A5142" s="4">
        <v>5137</v>
      </c>
      <c r="B5142" s="3" t="str">
        <f>"00420435"</f>
        <v>00420435</v>
      </c>
    </row>
    <row r="5143" spans="1:2" x14ac:dyDescent="0.25">
      <c r="A5143" s="4">
        <v>5138</v>
      </c>
      <c r="B5143" s="3" t="str">
        <f>"00420486"</f>
        <v>00420486</v>
      </c>
    </row>
    <row r="5144" spans="1:2" x14ac:dyDescent="0.25">
      <c r="A5144" s="4">
        <v>5139</v>
      </c>
      <c r="B5144" s="3" t="str">
        <f>"00420488"</f>
        <v>00420488</v>
      </c>
    </row>
    <row r="5145" spans="1:2" x14ac:dyDescent="0.25">
      <c r="A5145" s="4">
        <v>5140</v>
      </c>
      <c r="B5145" s="3" t="str">
        <f>"00420543"</f>
        <v>00420543</v>
      </c>
    </row>
    <row r="5146" spans="1:2" x14ac:dyDescent="0.25">
      <c r="A5146" s="4">
        <v>5141</v>
      </c>
      <c r="B5146" s="3" t="str">
        <f>"00420556"</f>
        <v>00420556</v>
      </c>
    </row>
    <row r="5147" spans="1:2" x14ac:dyDescent="0.25">
      <c r="A5147" s="4">
        <v>5142</v>
      </c>
      <c r="B5147" s="3" t="str">
        <f>"00420727"</f>
        <v>00420727</v>
      </c>
    </row>
    <row r="5148" spans="1:2" x14ac:dyDescent="0.25">
      <c r="A5148" s="4">
        <v>5143</v>
      </c>
      <c r="B5148" s="3" t="str">
        <f>"00420748"</f>
        <v>00420748</v>
      </c>
    </row>
    <row r="5149" spans="1:2" x14ac:dyDescent="0.25">
      <c r="A5149" s="4">
        <v>5144</v>
      </c>
      <c r="B5149" s="3" t="str">
        <f>"00420850"</f>
        <v>00420850</v>
      </c>
    </row>
    <row r="5150" spans="1:2" x14ac:dyDescent="0.25">
      <c r="A5150" s="4">
        <v>5145</v>
      </c>
      <c r="B5150" s="3" t="str">
        <f>"00421123"</f>
        <v>00421123</v>
      </c>
    </row>
    <row r="5151" spans="1:2" x14ac:dyDescent="0.25">
      <c r="A5151" s="4">
        <v>5146</v>
      </c>
      <c r="B5151" s="3" t="str">
        <f>"00421166"</f>
        <v>00421166</v>
      </c>
    </row>
    <row r="5152" spans="1:2" x14ac:dyDescent="0.25">
      <c r="A5152" s="4">
        <v>5147</v>
      </c>
      <c r="B5152" s="3" t="str">
        <f>"00421185"</f>
        <v>00421185</v>
      </c>
    </row>
    <row r="5153" spans="1:2" x14ac:dyDescent="0.25">
      <c r="A5153" s="4">
        <v>5148</v>
      </c>
      <c r="B5153" s="3" t="str">
        <f>"00421214"</f>
        <v>00421214</v>
      </c>
    </row>
    <row r="5154" spans="1:2" x14ac:dyDescent="0.25">
      <c r="A5154" s="4">
        <v>5149</v>
      </c>
      <c r="B5154" s="3" t="str">
        <f>"00421277"</f>
        <v>00421277</v>
      </c>
    </row>
    <row r="5155" spans="1:2" x14ac:dyDescent="0.25">
      <c r="A5155" s="4">
        <v>5150</v>
      </c>
      <c r="B5155" s="3" t="str">
        <f>"00421336"</f>
        <v>00421336</v>
      </c>
    </row>
    <row r="5156" spans="1:2" x14ac:dyDescent="0.25">
      <c r="A5156" s="4">
        <v>5151</v>
      </c>
      <c r="B5156" s="3" t="str">
        <f>"00421393"</f>
        <v>00421393</v>
      </c>
    </row>
    <row r="5157" spans="1:2" x14ac:dyDescent="0.25">
      <c r="A5157" s="4">
        <v>5152</v>
      </c>
      <c r="B5157" s="3" t="str">
        <f>"00421428"</f>
        <v>00421428</v>
      </c>
    </row>
    <row r="5158" spans="1:2" x14ac:dyDescent="0.25">
      <c r="A5158" s="4">
        <v>5153</v>
      </c>
      <c r="B5158" s="3" t="str">
        <f>"00421587"</f>
        <v>00421587</v>
      </c>
    </row>
    <row r="5159" spans="1:2" x14ac:dyDescent="0.25">
      <c r="A5159" s="4">
        <v>5154</v>
      </c>
      <c r="B5159" s="3" t="str">
        <f>"00421620"</f>
        <v>00421620</v>
      </c>
    </row>
    <row r="5160" spans="1:2" x14ac:dyDescent="0.25">
      <c r="A5160" s="4">
        <v>5155</v>
      </c>
      <c r="B5160" s="3" t="str">
        <f>"00421631"</f>
        <v>00421631</v>
      </c>
    </row>
    <row r="5161" spans="1:2" x14ac:dyDescent="0.25">
      <c r="A5161" s="4">
        <v>5156</v>
      </c>
      <c r="B5161" s="3" t="str">
        <f>"00421701"</f>
        <v>00421701</v>
      </c>
    </row>
    <row r="5162" spans="1:2" x14ac:dyDescent="0.25">
      <c r="A5162" s="4">
        <v>5157</v>
      </c>
      <c r="B5162" s="3" t="str">
        <f>"00421776"</f>
        <v>00421776</v>
      </c>
    </row>
    <row r="5163" spans="1:2" x14ac:dyDescent="0.25">
      <c r="A5163" s="4">
        <v>5158</v>
      </c>
      <c r="B5163" s="3" t="str">
        <f>"00421857"</f>
        <v>00421857</v>
      </c>
    </row>
    <row r="5164" spans="1:2" x14ac:dyDescent="0.25">
      <c r="A5164" s="4">
        <v>5159</v>
      </c>
      <c r="B5164" s="3" t="str">
        <f>"00421858"</f>
        <v>00421858</v>
      </c>
    </row>
    <row r="5165" spans="1:2" x14ac:dyDescent="0.25">
      <c r="A5165" s="4">
        <v>5160</v>
      </c>
      <c r="B5165" s="3" t="str">
        <f>"00421874"</f>
        <v>00421874</v>
      </c>
    </row>
    <row r="5166" spans="1:2" x14ac:dyDescent="0.25">
      <c r="A5166" s="4">
        <v>5161</v>
      </c>
      <c r="B5166" s="3" t="str">
        <f>"00421894"</f>
        <v>00421894</v>
      </c>
    </row>
    <row r="5167" spans="1:2" x14ac:dyDescent="0.25">
      <c r="A5167" s="4">
        <v>5162</v>
      </c>
      <c r="B5167" s="3" t="str">
        <f>"00421903"</f>
        <v>00421903</v>
      </c>
    </row>
    <row r="5168" spans="1:2" x14ac:dyDescent="0.25">
      <c r="A5168" s="4">
        <v>5163</v>
      </c>
      <c r="B5168" s="3" t="str">
        <f>"00421983"</f>
        <v>00421983</v>
      </c>
    </row>
    <row r="5169" spans="1:2" x14ac:dyDescent="0.25">
      <c r="A5169" s="4">
        <v>5164</v>
      </c>
      <c r="B5169" s="3" t="str">
        <f>"00422014"</f>
        <v>00422014</v>
      </c>
    </row>
    <row r="5170" spans="1:2" x14ac:dyDescent="0.25">
      <c r="A5170" s="4">
        <v>5165</v>
      </c>
      <c r="B5170" s="3" t="str">
        <f>"00422040"</f>
        <v>00422040</v>
      </c>
    </row>
    <row r="5171" spans="1:2" x14ac:dyDescent="0.25">
      <c r="A5171" s="4">
        <v>5166</v>
      </c>
      <c r="B5171" s="3" t="str">
        <f>"00422042"</f>
        <v>00422042</v>
      </c>
    </row>
    <row r="5172" spans="1:2" x14ac:dyDescent="0.25">
      <c r="A5172" s="4">
        <v>5167</v>
      </c>
      <c r="B5172" s="3" t="str">
        <f>"00422078"</f>
        <v>00422078</v>
      </c>
    </row>
    <row r="5173" spans="1:2" x14ac:dyDescent="0.25">
      <c r="A5173" s="4">
        <v>5168</v>
      </c>
      <c r="B5173" s="3" t="str">
        <f>"00422109"</f>
        <v>00422109</v>
      </c>
    </row>
    <row r="5174" spans="1:2" x14ac:dyDescent="0.25">
      <c r="A5174" s="4">
        <v>5169</v>
      </c>
      <c r="B5174" s="3" t="str">
        <f>"00422113"</f>
        <v>00422113</v>
      </c>
    </row>
    <row r="5175" spans="1:2" x14ac:dyDescent="0.25">
      <c r="A5175" s="4">
        <v>5170</v>
      </c>
      <c r="B5175" s="3" t="str">
        <f>"00422120"</f>
        <v>00422120</v>
      </c>
    </row>
    <row r="5176" spans="1:2" x14ac:dyDescent="0.25">
      <c r="A5176" s="4">
        <v>5171</v>
      </c>
      <c r="B5176" s="3" t="str">
        <f>"00422172"</f>
        <v>00422172</v>
      </c>
    </row>
    <row r="5177" spans="1:2" x14ac:dyDescent="0.25">
      <c r="A5177" s="4">
        <v>5172</v>
      </c>
      <c r="B5177" s="3" t="str">
        <f>"00422215"</f>
        <v>00422215</v>
      </c>
    </row>
    <row r="5178" spans="1:2" x14ac:dyDescent="0.25">
      <c r="A5178" s="4">
        <v>5173</v>
      </c>
      <c r="B5178" s="3" t="str">
        <f>"00422237"</f>
        <v>00422237</v>
      </c>
    </row>
    <row r="5179" spans="1:2" x14ac:dyDescent="0.25">
      <c r="A5179" s="4">
        <v>5174</v>
      </c>
      <c r="B5179" s="3" t="str">
        <f>"00422291"</f>
        <v>00422291</v>
      </c>
    </row>
    <row r="5180" spans="1:2" x14ac:dyDescent="0.25">
      <c r="A5180" s="4">
        <v>5175</v>
      </c>
      <c r="B5180" s="3" t="str">
        <f>"00422336"</f>
        <v>00422336</v>
      </c>
    </row>
    <row r="5181" spans="1:2" x14ac:dyDescent="0.25">
      <c r="A5181" s="4">
        <v>5176</v>
      </c>
      <c r="B5181" s="3" t="str">
        <f>"00422341"</f>
        <v>00422341</v>
      </c>
    </row>
    <row r="5182" spans="1:2" x14ac:dyDescent="0.25">
      <c r="A5182" s="4">
        <v>5177</v>
      </c>
      <c r="B5182" s="3" t="str">
        <f>"00422354"</f>
        <v>00422354</v>
      </c>
    </row>
    <row r="5183" spans="1:2" x14ac:dyDescent="0.25">
      <c r="A5183" s="4">
        <v>5178</v>
      </c>
      <c r="B5183" s="3" t="str">
        <f>"00422364"</f>
        <v>00422364</v>
      </c>
    </row>
    <row r="5184" spans="1:2" x14ac:dyDescent="0.25">
      <c r="A5184" s="4">
        <v>5179</v>
      </c>
      <c r="B5184" s="3" t="str">
        <f>"00422410"</f>
        <v>00422410</v>
      </c>
    </row>
    <row r="5185" spans="1:2" x14ac:dyDescent="0.25">
      <c r="A5185" s="4">
        <v>5180</v>
      </c>
      <c r="B5185" s="3" t="str">
        <f>"00422431"</f>
        <v>00422431</v>
      </c>
    </row>
    <row r="5186" spans="1:2" x14ac:dyDescent="0.25">
      <c r="A5186" s="4">
        <v>5181</v>
      </c>
      <c r="B5186" s="3" t="str">
        <f>"00422507"</f>
        <v>00422507</v>
      </c>
    </row>
    <row r="5187" spans="1:2" x14ac:dyDescent="0.25">
      <c r="A5187" s="4">
        <v>5182</v>
      </c>
      <c r="B5187" s="3" t="str">
        <f>"00422520"</f>
        <v>00422520</v>
      </c>
    </row>
    <row r="5188" spans="1:2" x14ac:dyDescent="0.25">
      <c r="A5188" s="4">
        <v>5183</v>
      </c>
      <c r="B5188" s="3" t="str">
        <f>"00422555"</f>
        <v>00422555</v>
      </c>
    </row>
    <row r="5189" spans="1:2" x14ac:dyDescent="0.25">
      <c r="A5189" s="4">
        <v>5184</v>
      </c>
      <c r="B5189" s="3" t="str">
        <f>"00422654"</f>
        <v>00422654</v>
      </c>
    </row>
    <row r="5190" spans="1:2" x14ac:dyDescent="0.25">
      <c r="A5190" s="4">
        <v>5185</v>
      </c>
      <c r="B5190" s="3" t="str">
        <f>"00422699"</f>
        <v>00422699</v>
      </c>
    </row>
    <row r="5191" spans="1:2" x14ac:dyDescent="0.25">
      <c r="A5191" s="4">
        <v>5186</v>
      </c>
      <c r="B5191" s="3" t="str">
        <f>"00422976"</f>
        <v>00422976</v>
      </c>
    </row>
    <row r="5192" spans="1:2" x14ac:dyDescent="0.25">
      <c r="A5192" s="4">
        <v>5187</v>
      </c>
      <c r="B5192" s="3" t="str">
        <f>"00423013"</f>
        <v>00423013</v>
      </c>
    </row>
    <row r="5193" spans="1:2" x14ac:dyDescent="0.25">
      <c r="A5193" s="4">
        <v>5188</v>
      </c>
      <c r="B5193" s="3" t="str">
        <f>"00423025"</f>
        <v>00423025</v>
      </c>
    </row>
    <row r="5194" spans="1:2" x14ac:dyDescent="0.25">
      <c r="A5194" s="4">
        <v>5189</v>
      </c>
      <c r="B5194" s="3" t="str">
        <f>"00423026"</f>
        <v>00423026</v>
      </c>
    </row>
    <row r="5195" spans="1:2" x14ac:dyDescent="0.25">
      <c r="A5195" s="4">
        <v>5190</v>
      </c>
      <c r="B5195" s="3" t="str">
        <f>"00423085"</f>
        <v>00423085</v>
      </c>
    </row>
    <row r="5196" spans="1:2" x14ac:dyDescent="0.25">
      <c r="A5196" s="4">
        <v>5191</v>
      </c>
      <c r="B5196" s="3" t="str">
        <f>"00423124"</f>
        <v>00423124</v>
      </c>
    </row>
    <row r="5197" spans="1:2" x14ac:dyDescent="0.25">
      <c r="A5197" s="4">
        <v>5192</v>
      </c>
      <c r="B5197" s="3" t="str">
        <f>"00423198"</f>
        <v>00423198</v>
      </c>
    </row>
    <row r="5198" spans="1:2" x14ac:dyDescent="0.25">
      <c r="A5198" s="4">
        <v>5193</v>
      </c>
      <c r="B5198" s="3" t="str">
        <f>"00423208"</f>
        <v>00423208</v>
      </c>
    </row>
    <row r="5199" spans="1:2" x14ac:dyDescent="0.25">
      <c r="A5199" s="4">
        <v>5194</v>
      </c>
      <c r="B5199" s="3" t="str">
        <f>"00423312"</f>
        <v>00423312</v>
      </c>
    </row>
    <row r="5200" spans="1:2" x14ac:dyDescent="0.25">
      <c r="A5200" s="4">
        <v>5195</v>
      </c>
      <c r="B5200" s="3" t="str">
        <f>"00423414"</f>
        <v>00423414</v>
      </c>
    </row>
    <row r="5201" spans="1:2" x14ac:dyDescent="0.25">
      <c r="A5201" s="4">
        <v>5196</v>
      </c>
      <c r="B5201" s="3" t="str">
        <f>"00423441"</f>
        <v>00423441</v>
      </c>
    </row>
    <row r="5202" spans="1:2" x14ac:dyDescent="0.25">
      <c r="A5202" s="4">
        <v>5197</v>
      </c>
      <c r="B5202" s="3" t="str">
        <f>"00423480"</f>
        <v>00423480</v>
      </c>
    </row>
    <row r="5203" spans="1:2" x14ac:dyDescent="0.25">
      <c r="A5203" s="4">
        <v>5198</v>
      </c>
      <c r="B5203" s="3" t="str">
        <f>"00423532"</f>
        <v>00423532</v>
      </c>
    </row>
    <row r="5204" spans="1:2" x14ac:dyDescent="0.25">
      <c r="A5204" s="4">
        <v>5199</v>
      </c>
      <c r="B5204" s="3" t="str">
        <f>"00423588"</f>
        <v>00423588</v>
      </c>
    </row>
    <row r="5205" spans="1:2" x14ac:dyDescent="0.25">
      <c r="A5205" s="4">
        <v>5200</v>
      </c>
      <c r="B5205" s="3" t="str">
        <f>"00423643"</f>
        <v>00423643</v>
      </c>
    </row>
    <row r="5206" spans="1:2" x14ac:dyDescent="0.25">
      <c r="A5206" s="4">
        <v>5201</v>
      </c>
      <c r="B5206" s="3" t="str">
        <f>"00423658"</f>
        <v>00423658</v>
      </c>
    </row>
    <row r="5207" spans="1:2" x14ac:dyDescent="0.25">
      <c r="A5207" s="4">
        <v>5202</v>
      </c>
      <c r="B5207" s="3" t="str">
        <f>"00423692"</f>
        <v>00423692</v>
      </c>
    </row>
    <row r="5208" spans="1:2" x14ac:dyDescent="0.25">
      <c r="A5208" s="4">
        <v>5203</v>
      </c>
      <c r="B5208" s="3" t="str">
        <f>"00423709"</f>
        <v>00423709</v>
      </c>
    </row>
    <row r="5209" spans="1:2" x14ac:dyDescent="0.25">
      <c r="A5209" s="4">
        <v>5204</v>
      </c>
      <c r="B5209" s="3" t="str">
        <f>"00423718"</f>
        <v>00423718</v>
      </c>
    </row>
    <row r="5210" spans="1:2" x14ac:dyDescent="0.25">
      <c r="A5210" s="4">
        <v>5205</v>
      </c>
      <c r="B5210" s="3" t="str">
        <f>"00423720"</f>
        <v>00423720</v>
      </c>
    </row>
    <row r="5211" spans="1:2" x14ac:dyDescent="0.25">
      <c r="A5211" s="4">
        <v>5206</v>
      </c>
      <c r="B5211" s="3" t="str">
        <f>"00423757"</f>
        <v>00423757</v>
      </c>
    </row>
    <row r="5212" spans="1:2" x14ac:dyDescent="0.25">
      <c r="A5212" s="4">
        <v>5207</v>
      </c>
      <c r="B5212" s="3" t="str">
        <f>"00423782"</f>
        <v>00423782</v>
      </c>
    </row>
    <row r="5213" spans="1:2" x14ac:dyDescent="0.25">
      <c r="A5213" s="4">
        <v>5208</v>
      </c>
      <c r="B5213" s="3" t="str">
        <f>"00423797"</f>
        <v>00423797</v>
      </c>
    </row>
    <row r="5214" spans="1:2" x14ac:dyDescent="0.25">
      <c r="A5214" s="4">
        <v>5209</v>
      </c>
      <c r="B5214" s="3" t="str">
        <f>"00423802"</f>
        <v>00423802</v>
      </c>
    </row>
    <row r="5215" spans="1:2" x14ac:dyDescent="0.25">
      <c r="A5215" s="4">
        <v>5210</v>
      </c>
      <c r="B5215" s="3" t="str">
        <f>"00423804"</f>
        <v>00423804</v>
      </c>
    </row>
    <row r="5216" spans="1:2" x14ac:dyDescent="0.25">
      <c r="A5216" s="4">
        <v>5211</v>
      </c>
      <c r="B5216" s="3" t="str">
        <f>"00423811"</f>
        <v>00423811</v>
      </c>
    </row>
    <row r="5217" spans="1:2" x14ac:dyDescent="0.25">
      <c r="A5217" s="4">
        <v>5212</v>
      </c>
      <c r="B5217" s="3" t="str">
        <f>"00423842"</f>
        <v>00423842</v>
      </c>
    </row>
    <row r="5218" spans="1:2" x14ac:dyDescent="0.25">
      <c r="A5218" s="4">
        <v>5213</v>
      </c>
      <c r="B5218" s="3" t="str">
        <f>"00423854"</f>
        <v>00423854</v>
      </c>
    </row>
    <row r="5219" spans="1:2" x14ac:dyDescent="0.25">
      <c r="A5219" s="4">
        <v>5214</v>
      </c>
      <c r="B5219" s="3" t="str">
        <f>"00423904"</f>
        <v>00423904</v>
      </c>
    </row>
    <row r="5220" spans="1:2" x14ac:dyDescent="0.25">
      <c r="A5220" s="4">
        <v>5215</v>
      </c>
      <c r="B5220" s="3" t="str">
        <f>"00423949"</f>
        <v>00423949</v>
      </c>
    </row>
    <row r="5221" spans="1:2" x14ac:dyDescent="0.25">
      <c r="A5221" s="4">
        <v>5216</v>
      </c>
      <c r="B5221" s="3" t="str">
        <f>"00423971"</f>
        <v>00423971</v>
      </c>
    </row>
    <row r="5222" spans="1:2" x14ac:dyDescent="0.25">
      <c r="A5222" s="4">
        <v>5217</v>
      </c>
      <c r="B5222" s="3" t="str">
        <f>"00423980"</f>
        <v>00423980</v>
      </c>
    </row>
    <row r="5223" spans="1:2" x14ac:dyDescent="0.25">
      <c r="A5223" s="4">
        <v>5218</v>
      </c>
      <c r="B5223" s="3" t="str">
        <f>"00423985"</f>
        <v>00423985</v>
      </c>
    </row>
    <row r="5224" spans="1:2" x14ac:dyDescent="0.25">
      <c r="A5224" s="4">
        <v>5219</v>
      </c>
      <c r="B5224" s="3" t="str">
        <f>"00424011"</f>
        <v>00424011</v>
      </c>
    </row>
    <row r="5225" spans="1:2" x14ac:dyDescent="0.25">
      <c r="A5225" s="4">
        <v>5220</v>
      </c>
      <c r="B5225" s="3" t="str">
        <f>"00424098"</f>
        <v>00424098</v>
      </c>
    </row>
    <row r="5226" spans="1:2" x14ac:dyDescent="0.25">
      <c r="A5226" s="4">
        <v>5221</v>
      </c>
      <c r="B5226" s="3" t="str">
        <f>"00424106"</f>
        <v>00424106</v>
      </c>
    </row>
    <row r="5227" spans="1:2" x14ac:dyDescent="0.25">
      <c r="A5227" s="4">
        <v>5222</v>
      </c>
      <c r="B5227" s="3" t="str">
        <f>"00424135"</f>
        <v>00424135</v>
      </c>
    </row>
    <row r="5228" spans="1:2" x14ac:dyDescent="0.25">
      <c r="A5228" s="4">
        <v>5223</v>
      </c>
      <c r="B5228" s="3" t="str">
        <f>"00424150"</f>
        <v>00424150</v>
      </c>
    </row>
    <row r="5229" spans="1:2" x14ac:dyDescent="0.25">
      <c r="A5229" s="4">
        <v>5224</v>
      </c>
      <c r="B5229" s="3" t="str">
        <f>"00424194"</f>
        <v>00424194</v>
      </c>
    </row>
    <row r="5230" spans="1:2" x14ac:dyDescent="0.25">
      <c r="A5230" s="4">
        <v>5225</v>
      </c>
      <c r="B5230" s="3" t="str">
        <f>"00424273"</f>
        <v>00424273</v>
      </c>
    </row>
    <row r="5231" spans="1:2" x14ac:dyDescent="0.25">
      <c r="A5231" s="4">
        <v>5226</v>
      </c>
      <c r="B5231" s="3" t="str">
        <f>"00424430"</f>
        <v>00424430</v>
      </c>
    </row>
    <row r="5232" spans="1:2" x14ac:dyDescent="0.25">
      <c r="A5232" s="4">
        <v>5227</v>
      </c>
      <c r="B5232" s="3" t="str">
        <f>"00424515"</f>
        <v>00424515</v>
      </c>
    </row>
    <row r="5233" spans="1:2" x14ac:dyDescent="0.25">
      <c r="A5233" s="4">
        <v>5228</v>
      </c>
      <c r="B5233" s="3" t="str">
        <f>"00424755"</f>
        <v>00424755</v>
      </c>
    </row>
    <row r="5234" spans="1:2" x14ac:dyDescent="0.25">
      <c r="A5234" s="4">
        <v>5229</v>
      </c>
      <c r="B5234" s="3" t="str">
        <f>"00424766"</f>
        <v>00424766</v>
      </c>
    </row>
    <row r="5235" spans="1:2" x14ac:dyDescent="0.25">
      <c r="A5235" s="4">
        <v>5230</v>
      </c>
      <c r="B5235" s="3" t="str">
        <f>"00424868"</f>
        <v>00424868</v>
      </c>
    </row>
    <row r="5236" spans="1:2" x14ac:dyDescent="0.25">
      <c r="A5236" s="4">
        <v>5231</v>
      </c>
      <c r="B5236" s="3" t="str">
        <f>"00425096"</f>
        <v>00425096</v>
      </c>
    </row>
    <row r="5237" spans="1:2" x14ac:dyDescent="0.25">
      <c r="A5237" s="4">
        <v>5232</v>
      </c>
      <c r="B5237" s="3" t="str">
        <f>"00425150"</f>
        <v>00425150</v>
      </c>
    </row>
    <row r="5238" spans="1:2" x14ac:dyDescent="0.25">
      <c r="A5238" s="4">
        <v>5233</v>
      </c>
      <c r="B5238" s="3" t="str">
        <f>"00425666"</f>
        <v>00425666</v>
      </c>
    </row>
    <row r="5239" spans="1:2" x14ac:dyDescent="0.25">
      <c r="A5239" s="4">
        <v>5234</v>
      </c>
      <c r="B5239" s="3" t="str">
        <f>"00425843"</f>
        <v>00425843</v>
      </c>
    </row>
    <row r="5240" spans="1:2" x14ac:dyDescent="0.25">
      <c r="A5240" s="4">
        <v>5235</v>
      </c>
      <c r="B5240" s="3" t="str">
        <f>"00425963"</f>
        <v>00425963</v>
      </c>
    </row>
    <row r="5241" spans="1:2" x14ac:dyDescent="0.25">
      <c r="A5241" s="4">
        <v>5236</v>
      </c>
      <c r="B5241" s="3" t="str">
        <f>"00426150"</f>
        <v>00426150</v>
      </c>
    </row>
    <row r="5242" spans="1:2" x14ac:dyDescent="0.25">
      <c r="A5242" s="4">
        <v>5237</v>
      </c>
      <c r="B5242" s="3" t="str">
        <f>"00426169"</f>
        <v>00426169</v>
      </c>
    </row>
    <row r="5243" spans="1:2" x14ac:dyDescent="0.25">
      <c r="A5243" s="4">
        <v>5238</v>
      </c>
      <c r="B5243" s="3" t="str">
        <f>"00426205"</f>
        <v>00426205</v>
      </c>
    </row>
    <row r="5244" spans="1:2" x14ac:dyDescent="0.25">
      <c r="A5244" s="4">
        <v>5239</v>
      </c>
      <c r="B5244" s="3" t="str">
        <f>"00426306"</f>
        <v>00426306</v>
      </c>
    </row>
    <row r="5245" spans="1:2" x14ac:dyDescent="0.25">
      <c r="A5245" s="4">
        <v>5240</v>
      </c>
      <c r="B5245" s="3" t="str">
        <f>"00426329"</f>
        <v>00426329</v>
      </c>
    </row>
    <row r="5246" spans="1:2" x14ac:dyDescent="0.25">
      <c r="A5246" s="4">
        <v>5241</v>
      </c>
      <c r="B5246" s="3" t="str">
        <f>"00426413"</f>
        <v>00426413</v>
      </c>
    </row>
    <row r="5247" spans="1:2" x14ac:dyDescent="0.25">
      <c r="A5247" s="4">
        <v>5242</v>
      </c>
      <c r="B5247" s="3" t="str">
        <f>"00426448"</f>
        <v>00426448</v>
      </c>
    </row>
    <row r="5248" spans="1:2" x14ac:dyDescent="0.25">
      <c r="A5248" s="4">
        <v>5243</v>
      </c>
      <c r="B5248" s="3" t="str">
        <f>"00427352"</f>
        <v>00427352</v>
      </c>
    </row>
    <row r="5249" spans="1:2" x14ac:dyDescent="0.25">
      <c r="A5249" s="4">
        <v>5244</v>
      </c>
      <c r="B5249" s="3" t="str">
        <f>"00427497"</f>
        <v>00427497</v>
      </c>
    </row>
    <row r="5250" spans="1:2" x14ac:dyDescent="0.25">
      <c r="A5250" s="4">
        <v>5245</v>
      </c>
      <c r="B5250" s="3" t="str">
        <f>"00427776"</f>
        <v>00427776</v>
      </c>
    </row>
    <row r="5251" spans="1:2" x14ac:dyDescent="0.25">
      <c r="A5251" s="4">
        <v>5246</v>
      </c>
      <c r="B5251" s="3" t="str">
        <f>"00428005"</f>
        <v>00428005</v>
      </c>
    </row>
    <row r="5252" spans="1:2" x14ac:dyDescent="0.25">
      <c r="A5252" s="4">
        <v>5247</v>
      </c>
      <c r="B5252" s="3" t="str">
        <f>"00428535"</f>
        <v>00428535</v>
      </c>
    </row>
    <row r="5253" spans="1:2" x14ac:dyDescent="0.25">
      <c r="A5253" s="4">
        <v>5248</v>
      </c>
      <c r="B5253" s="3" t="str">
        <f>"00428537"</f>
        <v>00428537</v>
      </c>
    </row>
    <row r="5254" spans="1:2" x14ac:dyDescent="0.25">
      <c r="A5254" s="4">
        <v>5249</v>
      </c>
      <c r="B5254" s="3" t="str">
        <f>"00429059"</f>
        <v>00429059</v>
      </c>
    </row>
    <row r="5255" spans="1:2" x14ac:dyDescent="0.25">
      <c r="A5255" s="4">
        <v>5250</v>
      </c>
      <c r="B5255" s="3" t="str">
        <f>"00429378"</f>
        <v>00429378</v>
      </c>
    </row>
    <row r="5256" spans="1:2" x14ac:dyDescent="0.25">
      <c r="A5256" s="4">
        <v>5251</v>
      </c>
      <c r="B5256" s="3" t="str">
        <f>"00429554"</f>
        <v>00429554</v>
      </c>
    </row>
    <row r="5257" spans="1:2" x14ac:dyDescent="0.25">
      <c r="A5257" s="4">
        <v>5252</v>
      </c>
      <c r="B5257" s="3" t="str">
        <f>"00429740"</f>
        <v>00429740</v>
      </c>
    </row>
    <row r="5258" spans="1:2" x14ac:dyDescent="0.25">
      <c r="A5258" s="4">
        <v>5253</v>
      </c>
      <c r="B5258" s="3" t="str">
        <f>"00429871"</f>
        <v>00429871</v>
      </c>
    </row>
    <row r="5259" spans="1:2" x14ac:dyDescent="0.25">
      <c r="A5259" s="4">
        <v>5254</v>
      </c>
      <c r="B5259" s="3" t="str">
        <f>"00429905"</f>
        <v>00429905</v>
      </c>
    </row>
    <row r="5260" spans="1:2" x14ac:dyDescent="0.25">
      <c r="A5260" s="4">
        <v>5255</v>
      </c>
      <c r="B5260" s="3" t="str">
        <f>"00430086"</f>
        <v>00430086</v>
      </c>
    </row>
    <row r="5261" spans="1:2" x14ac:dyDescent="0.25">
      <c r="A5261" s="4">
        <v>5256</v>
      </c>
      <c r="B5261" s="3" t="str">
        <f>"00430212"</f>
        <v>00430212</v>
      </c>
    </row>
    <row r="5262" spans="1:2" x14ac:dyDescent="0.25">
      <c r="A5262" s="4">
        <v>5257</v>
      </c>
      <c r="B5262" s="3" t="str">
        <f>"00430713"</f>
        <v>00430713</v>
      </c>
    </row>
    <row r="5263" spans="1:2" x14ac:dyDescent="0.25">
      <c r="A5263" s="4">
        <v>5258</v>
      </c>
      <c r="B5263" s="3" t="str">
        <f>"00430818"</f>
        <v>00430818</v>
      </c>
    </row>
    <row r="5264" spans="1:2" x14ac:dyDescent="0.25">
      <c r="A5264" s="4">
        <v>5259</v>
      </c>
      <c r="B5264" s="3" t="str">
        <f>"00431341"</f>
        <v>00431341</v>
      </c>
    </row>
    <row r="5265" spans="1:2" x14ac:dyDescent="0.25">
      <c r="A5265" s="4">
        <v>5260</v>
      </c>
      <c r="B5265" s="3" t="str">
        <f>"00431757"</f>
        <v>00431757</v>
      </c>
    </row>
    <row r="5266" spans="1:2" x14ac:dyDescent="0.25">
      <c r="A5266" s="4">
        <v>5261</v>
      </c>
      <c r="B5266" s="3" t="str">
        <f>"00432181"</f>
        <v>00432181</v>
      </c>
    </row>
    <row r="5267" spans="1:2" x14ac:dyDescent="0.25">
      <c r="A5267" s="4">
        <v>5262</v>
      </c>
      <c r="B5267" s="3" t="str">
        <f>"00432722"</f>
        <v>00432722</v>
      </c>
    </row>
    <row r="5268" spans="1:2" x14ac:dyDescent="0.25">
      <c r="A5268" s="4">
        <v>5263</v>
      </c>
      <c r="B5268" s="3" t="str">
        <f>"00432844"</f>
        <v>00432844</v>
      </c>
    </row>
    <row r="5269" spans="1:2" x14ac:dyDescent="0.25">
      <c r="A5269" s="4">
        <v>5264</v>
      </c>
      <c r="B5269" s="3" t="str">
        <f>"00432989"</f>
        <v>00432989</v>
      </c>
    </row>
    <row r="5270" spans="1:2" x14ac:dyDescent="0.25">
      <c r="A5270" s="4">
        <v>5265</v>
      </c>
      <c r="B5270" s="3" t="str">
        <f>"00433063"</f>
        <v>00433063</v>
      </c>
    </row>
    <row r="5271" spans="1:2" x14ac:dyDescent="0.25">
      <c r="A5271" s="4">
        <v>5266</v>
      </c>
      <c r="B5271" s="3" t="str">
        <f>"00433167"</f>
        <v>00433167</v>
      </c>
    </row>
    <row r="5272" spans="1:2" x14ac:dyDescent="0.25">
      <c r="A5272" s="4">
        <v>5267</v>
      </c>
      <c r="B5272" s="3" t="str">
        <f>"00433299"</f>
        <v>00433299</v>
      </c>
    </row>
    <row r="5273" spans="1:2" x14ac:dyDescent="0.25">
      <c r="A5273" s="4">
        <v>5268</v>
      </c>
      <c r="B5273" s="3" t="str">
        <f>"00433466"</f>
        <v>00433466</v>
      </c>
    </row>
    <row r="5274" spans="1:2" x14ac:dyDescent="0.25">
      <c r="A5274" s="4">
        <v>5269</v>
      </c>
      <c r="B5274" s="3" t="str">
        <f>"00433623"</f>
        <v>00433623</v>
      </c>
    </row>
    <row r="5275" spans="1:2" x14ac:dyDescent="0.25">
      <c r="A5275" s="4">
        <v>5270</v>
      </c>
      <c r="B5275" s="3" t="str">
        <f>"00433816"</f>
        <v>00433816</v>
      </c>
    </row>
    <row r="5276" spans="1:2" x14ac:dyDescent="0.25">
      <c r="A5276" s="4">
        <v>5271</v>
      </c>
      <c r="B5276" s="3" t="str">
        <f>"00433995"</f>
        <v>00433995</v>
      </c>
    </row>
    <row r="5277" spans="1:2" x14ac:dyDescent="0.25">
      <c r="A5277" s="4">
        <v>5272</v>
      </c>
      <c r="B5277" s="3" t="str">
        <f>"00434033"</f>
        <v>00434033</v>
      </c>
    </row>
    <row r="5278" spans="1:2" x14ac:dyDescent="0.25">
      <c r="A5278" s="4">
        <v>5273</v>
      </c>
      <c r="B5278" s="3" t="str">
        <f>"00434188"</f>
        <v>00434188</v>
      </c>
    </row>
    <row r="5279" spans="1:2" x14ac:dyDescent="0.25">
      <c r="A5279" s="4">
        <v>5274</v>
      </c>
      <c r="B5279" s="3" t="str">
        <f>"00434213"</f>
        <v>00434213</v>
      </c>
    </row>
    <row r="5280" spans="1:2" x14ac:dyDescent="0.25">
      <c r="A5280" s="4">
        <v>5275</v>
      </c>
      <c r="B5280" s="3" t="str">
        <f>"00434421"</f>
        <v>00434421</v>
      </c>
    </row>
    <row r="5281" spans="1:2" x14ac:dyDescent="0.25">
      <c r="A5281" s="4">
        <v>5276</v>
      </c>
      <c r="B5281" s="3" t="str">
        <f>"00434948"</f>
        <v>00434948</v>
      </c>
    </row>
    <row r="5282" spans="1:2" x14ac:dyDescent="0.25">
      <c r="A5282" s="4">
        <v>5277</v>
      </c>
      <c r="B5282" s="3" t="str">
        <f>"00435071"</f>
        <v>00435071</v>
      </c>
    </row>
    <row r="5283" spans="1:2" x14ac:dyDescent="0.25">
      <c r="A5283" s="4">
        <v>5278</v>
      </c>
      <c r="B5283" s="3" t="str">
        <f>"00435475"</f>
        <v>00435475</v>
      </c>
    </row>
    <row r="5284" spans="1:2" x14ac:dyDescent="0.25">
      <c r="A5284" s="4">
        <v>5279</v>
      </c>
      <c r="B5284" s="3" t="str">
        <f>"00435885"</f>
        <v>00435885</v>
      </c>
    </row>
    <row r="5285" spans="1:2" x14ac:dyDescent="0.25">
      <c r="A5285" s="4">
        <v>5280</v>
      </c>
      <c r="B5285" s="3" t="str">
        <f>"00436079"</f>
        <v>00436079</v>
      </c>
    </row>
    <row r="5286" spans="1:2" x14ac:dyDescent="0.25">
      <c r="A5286" s="4">
        <v>5281</v>
      </c>
      <c r="B5286" s="3" t="str">
        <f>"00436130"</f>
        <v>00436130</v>
      </c>
    </row>
    <row r="5287" spans="1:2" x14ac:dyDescent="0.25">
      <c r="A5287" s="4">
        <v>5282</v>
      </c>
      <c r="B5287" s="3" t="str">
        <f>"00436276"</f>
        <v>00436276</v>
      </c>
    </row>
    <row r="5288" spans="1:2" x14ac:dyDescent="0.25">
      <c r="A5288" s="4">
        <v>5283</v>
      </c>
      <c r="B5288" s="3" t="str">
        <f>"00436703"</f>
        <v>00436703</v>
      </c>
    </row>
    <row r="5289" spans="1:2" x14ac:dyDescent="0.25">
      <c r="A5289" s="4">
        <v>5284</v>
      </c>
      <c r="B5289" s="3" t="str">
        <f>"00436800"</f>
        <v>00436800</v>
      </c>
    </row>
    <row r="5290" spans="1:2" x14ac:dyDescent="0.25">
      <c r="A5290" s="4">
        <v>5285</v>
      </c>
      <c r="B5290" s="3" t="str">
        <f>"00437013"</f>
        <v>00437013</v>
      </c>
    </row>
    <row r="5291" spans="1:2" x14ac:dyDescent="0.25">
      <c r="A5291" s="4">
        <v>5286</v>
      </c>
      <c r="B5291" s="3" t="str">
        <f>"00437192"</f>
        <v>00437192</v>
      </c>
    </row>
    <row r="5292" spans="1:2" x14ac:dyDescent="0.25">
      <c r="A5292" s="4">
        <v>5287</v>
      </c>
      <c r="B5292" s="3" t="str">
        <f>"00437478"</f>
        <v>00437478</v>
      </c>
    </row>
    <row r="5293" spans="1:2" x14ac:dyDescent="0.25">
      <c r="A5293" s="4">
        <v>5288</v>
      </c>
      <c r="B5293" s="3" t="str">
        <f>"00437495"</f>
        <v>00437495</v>
      </c>
    </row>
    <row r="5294" spans="1:2" x14ac:dyDescent="0.25">
      <c r="A5294" s="4">
        <v>5289</v>
      </c>
      <c r="B5294" s="3" t="str">
        <f>"00437528"</f>
        <v>00437528</v>
      </c>
    </row>
    <row r="5295" spans="1:2" x14ac:dyDescent="0.25">
      <c r="A5295" s="4">
        <v>5290</v>
      </c>
      <c r="B5295" s="3" t="str">
        <f>"00437627"</f>
        <v>00437627</v>
      </c>
    </row>
    <row r="5296" spans="1:2" x14ac:dyDescent="0.25">
      <c r="A5296" s="4">
        <v>5291</v>
      </c>
      <c r="B5296" s="3" t="str">
        <f>"00437657"</f>
        <v>00437657</v>
      </c>
    </row>
    <row r="5297" spans="1:2" x14ac:dyDescent="0.25">
      <c r="A5297" s="4">
        <v>5292</v>
      </c>
      <c r="B5297" s="3" t="str">
        <f>"00437818"</f>
        <v>00437818</v>
      </c>
    </row>
    <row r="5298" spans="1:2" x14ac:dyDescent="0.25">
      <c r="A5298" s="4">
        <v>5293</v>
      </c>
      <c r="B5298" s="3" t="str">
        <f>"00437829"</f>
        <v>00437829</v>
      </c>
    </row>
    <row r="5299" spans="1:2" x14ac:dyDescent="0.25">
      <c r="A5299" s="4">
        <v>5294</v>
      </c>
      <c r="B5299" s="3" t="str">
        <f>"00437935"</f>
        <v>00437935</v>
      </c>
    </row>
    <row r="5300" spans="1:2" x14ac:dyDescent="0.25">
      <c r="A5300" s="4">
        <v>5295</v>
      </c>
      <c r="B5300" s="3" t="str">
        <f>"00438079"</f>
        <v>00438079</v>
      </c>
    </row>
    <row r="5301" spans="1:2" x14ac:dyDescent="0.25">
      <c r="A5301" s="4">
        <v>5296</v>
      </c>
      <c r="B5301" s="3" t="str">
        <f>"00438178"</f>
        <v>00438178</v>
      </c>
    </row>
    <row r="5302" spans="1:2" x14ac:dyDescent="0.25">
      <c r="A5302" s="4">
        <v>5297</v>
      </c>
      <c r="B5302" s="3" t="str">
        <f>"00438349"</f>
        <v>00438349</v>
      </c>
    </row>
    <row r="5303" spans="1:2" x14ac:dyDescent="0.25">
      <c r="A5303" s="4">
        <v>5298</v>
      </c>
      <c r="B5303" s="3" t="str">
        <f>"00438442"</f>
        <v>00438442</v>
      </c>
    </row>
    <row r="5304" spans="1:2" x14ac:dyDescent="0.25">
      <c r="A5304" s="4">
        <v>5299</v>
      </c>
      <c r="B5304" s="3" t="str">
        <f>"00438464"</f>
        <v>00438464</v>
      </c>
    </row>
    <row r="5305" spans="1:2" x14ac:dyDescent="0.25">
      <c r="A5305" s="4">
        <v>5300</v>
      </c>
      <c r="B5305" s="3" t="str">
        <f>"00438517"</f>
        <v>00438517</v>
      </c>
    </row>
    <row r="5306" spans="1:2" x14ac:dyDescent="0.25">
      <c r="A5306" s="4">
        <v>5301</v>
      </c>
      <c r="B5306" s="3" t="str">
        <f>"00438631"</f>
        <v>00438631</v>
      </c>
    </row>
    <row r="5307" spans="1:2" x14ac:dyDescent="0.25">
      <c r="A5307" s="4">
        <v>5302</v>
      </c>
      <c r="B5307" s="3" t="str">
        <f>"00438695"</f>
        <v>00438695</v>
      </c>
    </row>
    <row r="5308" spans="1:2" x14ac:dyDescent="0.25">
      <c r="A5308" s="4">
        <v>5303</v>
      </c>
      <c r="B5308" s="3" t="str">
        <f>"00439006"</f>
        <v>00439006</v>
      </c>
    </row>
    <row r="5309" spans="1:2" x14ac:dyDescent="0.25">
      <c r="A5309" s="4">
        <v>5304</v>
      </c>
      <c r="B5309" s="3" t="str">
        <f>"00439086"</f>
        <v>00439086</v>
      </c>
    </row>
    <row r="5310" spans="1:2" x14ac:dyDescent="0.25">
      <c r="A5310" s="4">
        <v>5305</v>
      </c>
      <c r="B5310" s="3" t="str">
        <f>"00439138"</f>
        <v>00439138</v>
      </c>
    </row>
    <row r="5311" spans="1:2" x14ac:dyDescent="0.25">
      <c r="A5311" s="4">
        <v>5306</v>
      </c>
      <c r="B5311" s="3" t="str">
        <f>"00439171"</f>
        <v>00439171</v>
      </c>
    </row>
    <row r="5312" spans="1:2" x14ac:dyDescent="0.25">
      <c r="A5312" s="4">
        <v>5307</v>
      </c>
      <c r="B5312" s="3" t="str">
        <f>"00439349"</f>
        <v>00439349</v>
      </c>
    </row>
    <row r="5313" spans="1:2" x14ac:dyDescent="0.25">
      <c r="A5313" s="4">
        <v>5308</v>
      </c>
      <c r="B5313" s="3" t="str">
        <f>"00439492"</f>
        <v>00439492</v>
      </c>
    </row>
    <row r="5314" spans="1:2" x14ac:dyDescent="0.25">
      <c r="A5314" s="4">
        <v>5309</v>
      </c>
      <c r="B5314" s="3" t="str">
        <f>"00439495"</f>
        <v>00439495</v>
      </c>
    </row>
    <row r="5315" spans="1:2" x14ac:dyDescent="0.25">
      <c r="A5315" s="4">
        <v>5310</v>
      </c>
      <c r="B5315" s="3" t="str">
        <f>"00439530"</f>
        <v>00439530</v>
      </c>
    </row>
    <row r="5316" spans="1:2" x14ac:dyDescent="0.25">
      <c r="A5316" s="4">
        <v>5311</v>
      </c>
      <c r="B5316" s="3" t="str">
        <f>"00439608"</f>
        <v>00439608</v>
      </c>
    </row>
    <row r="5317" spans="1:2" x14ac:dyDescent="0.25">
      <c r="A5317" s="4">
        <v>5312</v>
      </c>
      <c r="B5317" s="3" t="str">
        <f>"00439704"</f>
        <v>00439704</v>
      </c>
    </row>
    <row r="5318" spans="1:2" x14ac:dyDescent="0.25">
      <c r="A5318" s="4">
        <v>5313</v>
      </c>
      <c r="B5318" s="3" t="str">
        <f>"00439737"</f>
        <v>00439737</v>
      </c>
    </row>
    <row r="5319" spans="1:2" x14ac:dyDescent="0.25">
      <c r="A5319" s="4">
        <v>5314</v>
      </c>
      <c r="B5319" s="3" t="str">
        <f>"00439740"</f>
        <v>00439740</v>
      </c>
    </row>
    <row r="5320" spans="1:2" x14ac:dyDescent="0.25">
      <c r="A5320" s="4">
        <v>5315</v>
      </c>
      <c r="B5320" s="3" t="str">
        <f>"00439742"</f>
        <v>00439742</v>
      </c>
    </row>
    <row r="5321" spans="1:2" x14ac:dyDescent="0.25">
      <c r="A5321" s="4">
        <v>5316</v>
      </c>
      <c r="B5321" s="3" t="str">
        <f>"00439810"</f>
        <v>00439810</v>
      </c>
    </row>
    <row r="5322" spans="1:2" x14ac:dyDescent="0.25">
      <c r="A5322" s="4">
        <v>5317</v>
      </c>
      <c r="B5322" s="3" t="str">
        <f>"00439857"</f>
        <v>00439857</v>
      </c>
    </row>
    <row r="5323" spans="1:2" x14ac:dyDescent="0.25">
      <c r="A5323" s="4">
        <v>5318</v>
      </c>
      <c r="B5323" s="3" t="str">
        <f>"00439896"</f>
        <v>00439896</v>
      </c>
    </row>
    <row r="5324" spans="1:2" x14ac:dyDescent="0.25">
      <c r="A5324" s="4">
        <v>5319</v>
      </c>
      <c r="B5324" s="3" t="str">
        <f>"00439912"</f>
        <v>00439912</v>
      </c>
    </row>
    <row r="5325" spans="1:2" x14ac:dyDescent="0.25">
      <c r="A5325" s="4">
        <v>5320</v>
      </c>
      <c r="B5325" s="3" t="str">
        <f>"00439926"</f>
        <v>00439926</v>
      </c>
    </row>
    <row r="5326" spans="1:2" x14ac:dyDescent="0.25">
      <c r="A5326" s="4">
        <v>5321</v>
      </c>
      <c r="B5326" s="3" t="str">
        <f>"00440041"</f>
        <v>00440041</v>
      </c>
    </row>
    <row r="5327" spans="1:2" x14ac:dyDescent="0.25">
      <c r="A5327" s="4">
        <v>5322</v>
      </c>
      <c r="B5327" s="3" t="str">
        <f>"00440065"</f>
        <v>00440065</v>
      </c>
    </row>
    <row r="5328" spans="1:2" x14ac:dyDescent="0.25">
      <c r="A5328" s="4">
        <v>5323</v>
      </c>
      <c r="B5328" s="3" t="str">
        <f>"00440082"</f>
        <v>00440082</v>
      </c>
    </row>
    <row r="5329" spans="1:2" x14ac:dyDescent="0.25">
      <c r="A5329" s="4">
        <v>5324</v>
      </c>
      <c r="B5329" s="3" t="str">
        <f>"00440090"</f>
        <v>00440090</v>
      </c>
    </row>
    <row r="5330" spans="1:2" x14ac:dyDescent="0.25">
      <c r="A5330" s="4">
        <v>5325</v>
      </c>
      <c r="B5330" s="3" t="str">
        <f>"00440260"</f>
        <v>00440260</v>
      </c>
    </row>
    <row r="5331" spans="1:2" x14ac:dyDescent="0.25">
      <c r="A5331" s="4">
        <v>5326</v>
      </c>
      <c r="B5331" s="3" t="str">
        <f>"00440328"</f>
        <v>00440328</v>
      </c>
    </row>
    <row r="5332" spans="1:2" x14ac:dyDescent="0.25">
      <c r="A5332" s="4">
        <v>5327</v>
      </c>
      <c r="B5332" s="3" t="str">
        <f>"00440473"</f>
        <v>00440473</v>
      </c>
    </row>
    <row r="5333" spans="1:2" x14ac:dyDescent="0.25">
      <c r="A5333" s="4">
        <v>5328</v>
      </c>
      <c r="B5333" s="3" t="str">
        <f>"00440580"</f>
        <v>00440580</v>
      </c>
    </row>
    <row r="5334" spans="1:2" x14ac:dyDescent="0.25">
      <c r="A5334" s="4">
        <v>5329</v>
      </c>
      <c r="B5334" s="3" t="str">
        <f>"00440626"</f>
        <v>00440626</v>
      </c>
    </row>
    <row r="5335" spans="1:2" x14ac:dyDescent="0.25">
      <c r="A5335" s="4">
        <v>5330</v>
      </c>
      <c r="B5335" s="3" t="str">
        <f>"00440840"</f>
        <v>00440840</v>
      </c>
    </row>
    <row r="5336" spans="1:2" x14ac:dyDescent="0.25">
      <c r="A5336" s="4">
        <v>5331</v>
      </c>
      <c r="B5336" s="3" t="str">
        <f>"00441016"</f>
        <v>00441016</v>
      </c>
    </row>
    <row r="5337" spans="1:2" x14ac:dyDescent="0.25">
      <c r="A5337" s="4">
        <v>5332</v>
      </c>
      <c r="B5337" s="3" t="str">
        <f>"00441098"</f>
        <v>00441098</v>
      </c>
    </row>
    <row r="5338" spans="1:2" x14ac:dyDescent="0.25">
      <c r="A5338" s="4">
        <v>5333</v>
      </c>
      <c r="B5338" s="3" t="str">
        <f>"00441659"</f>
        <v>00441659</v>
      </c>
    </row>
    <row r="5339" spans="1:2" x14ac:dyDescent="0.25">
      <c r="A5339" s="4">
        <v>5334</v>
      </c>
      <c r="B5339" s="3" t="str">
        <f>"00442523"</f>
        <v>00442523</v>
      </c>
    </row>
    <row r="5340" spans="1:2" x14ac:dyDescent="0.25">
      <c r="A5340" s="4">
        <v>5335</v>
      </c>
      <c r="B5340" s="3" t="str">
        <f>"00442538"</f>
        <v>00442538</v>
      </c>
    </row>
    <row r="5341" spans="1:2" x14ac:dyDescent="0.25">
      <c r="A5341" s="4">
        <v>5336</v>
      </c>
      <c r="B5341" s="3" t="str">
        <f>"00442604"</f>
        <v>00442604</v>
      </c>
    </row>
    <row r="5342" spans="1:2" x14ac:dyDescent="0.25">
      <c r="A5342" s="4">
        <v>5337</v>
      </c>
      <c r="B5342" s="3" t="str">
        <f>"00442682"</f>
        <v>00442682</v>
      </c>
    </row>
    <row r="5343" spans="1:2" x14ac:dyDescent="0.25">
      <c r="A5343" s="4">
        <v>5338</v>
      </c>
      <c r="B5343" s="3" t="str">
        <f>"00442757"</f>
        <v>00442757</v>
      </c>
    </row>
    <row r="5344" spans="1:2" x14ac:dyDescent="0.25">
      <c r="A5344" s="4">
        <v>5339</v>
      </c>
      <c r="B5344" s="3" t="str">
        <f>"00443595"</f>
        <v>00443595</v>
      </c>
    </row>
    <row r="5345" spans="1:2" x14ac:dyDescent="0.25">
      <c r="A5345" s="4">
        <v>5340</v>
      </c>
      <c r="B5345" s="3" t="str">
        <f>"00443607"</f>
        <v>00443607</v>
      </c>
    </row>
    <row r="5346" spans="1:2" x14ac:dyDescent="0.25">
      <c r="A5346" s="4">
        <v>5341</v>
      </c>
      <c r="B5346" s="3" t="str">
        <f>"00443622"</f>
        <v>00443622</v>
      </c>
    </row>
    <row r="5347" spans="1:2" x14ac:dyDescent="0.25">
      <c r="A5347" s="4">
        <v>5342</v>
      </c>
      <c r="B5347" s="3" t="str">
        <f>"00443777"</f>
        <v>00443777</v>
      </c>
    </row>
    <row r="5348" spans="1:2" x14ac:dyDescent="0.25">
      <c r="A5348" s="4">
        <v>5343</v>
      </c>
      <c r="B5348" s="3" t="str">
        <f>"00443887"</f>
        <v>00443887</v>
      </c>
    </row>
    <row r="5349" spans="1:2" x14ac:dyDescent="0.25">
      <c r="A5349" s="4">
        <v>5344</v>
      </c>
      <c r="B5349" s="3" t="str">
        <f>"00444400"</f>
        <v>00444400</v>
      </c>
    </row>
    <row r="5350" spans="1:2" x14ac:dyDescent="0.25">
      <c r="A5350" s="4">
        <v>5345</v>
      </c>
      <c r="B5350" s="3" t="str">
        <f>"00444575"</f>
        <v>00444575</v>
      </c>
    </row>
    <row r="5351" spans="1:2" x14ac:dyDescent="0.25">
      <c r="A5351" s="4">
        <v>5346</v>
      </c>
      <c r="B5351" s="3" t="str">
        <f>"00444908"</f>
        <v>00444908</v>
      </c>
    </row>
    <row r="5352" spans="1:2" x14ac:dyDescent="0.25">
      <c r="A5352" s="4">
        <v>5347</v>
      </c>
      <c r="B5352" s="3" t="str">
        <f>"00445055"</f>
        <v>00445055</v>
      </c>
    </row>
    <row r="5353" spans="1:2" x14ac:dyDescent="0.25">
      <c r="A5353" s="4">
        <v>5348</v>
      </c>
      <c r="B5353" s="3" t="str">
        <f>"00445248"</f>
        <v>00445248</v>
      </c>
    </row>
    <row r="5354" spans="1:2" x14ac:dyDescent="0.25">
      <c r="A5354" s="4">
        <v>5349</v>
      </c>
      <c r="B5354" s="3" t="str">
        <f>"00445267"</f>
        <v>00445267</v>
      </c>
    </row>
    <row r="5355" spans="1:2" x14ac:dyDescent="0.25">
      <c r="A5355" s="4">
        <v>5350</v>
      </c>
      <c r="B5355" s="3" t="str">
        <f>"00446091"</f>
        <v>00446091</v>
      </c>
    </row>
    <row r="5356" spans="1:2" x14ac:dyDescent="0.25">
      <c r="A5356" s="4">
        <v>5351</v>
      </c>
      <c r="B5356" s="3" t="str">
        <f>"00446116"</f>
        <v>00446116</v>
      </c>
    </row>
    <row r="5357" spans="1:2" x14ac:dyDescent="0.25">
      <c r="A5357" s="4">
        <v>5352</v>
      </c>
      <c r="B5357" s="3" t="str">
        <f>"00446193"</f>
        <v>00446193</v>
      </c>
    </row>
    <row r="5358" spans="1:2" x14ac:dyDescent="0.25">
      <c r="A5358" s="4">
        <v>5353</v>
      </c>
      <c r="B5358" s="3" t="str">
        <f>"00446244"</f>
        <v>00446244</v>
      </c>
    </row>
    <row r="5359" spans="1:2" x14ac:dyDescent="0.25">
      <c r="A5359" s="4">
        <v>5354</v>
      </c>
      <c r="B5359" s="3" t="str">
        <f>"00446287"</f>
        <v>00446287</v>
      </c>
    </row>
    <row r="5360" spans="1:2" x14ac:dyDescent="0.25">
      <c r="A5360" s="4">
        <v>5355</v>
      </c>
      <c r="B5360" s="3" t="str">
        <f>"00447217"</f>
        <v>00447217</v>
      </c>
    </row>
    <row r="5361" spans="1:2" x14ac:dyDescent="0.25">
      <c r="A5361" s="4">
        <v>5356</v>
      </c>
      <c r="B5361" s="3" t="str">
        <f>"00447695"</f>
        <v>00447695</v>
      </c>
    </row>
    <row r="5362" spans="1:2" x14ac:dyDescent="0.25">
      <c r="A5362" s="4">
        <v>5357</v>
      </c>
      <c r="B5362" s="3" t="str">
        <f>"00447748"</f>
        <v>00447748</v>
      </c>
    </row>
    <row r="5363" spans="1:2" x14ac:dyDescent="0.25">
      <c r="A5363" s="4">
        <v>5358</v>
      </c>
      <c r="B5363" s="3" t="str">
        <f>"00448076"</f>
        <v>00448076</v>
      </c>
    </row>
    <row r="5364" spans="1:2" x14ac:dyDescent="0.25">
      <c r="A5364" s="4">
        <v>5359</v>
      </c>
      <c r="B5364" s="3" t="str">
        <f>"00448296"</f>
        <v>00448296</v>
      </c>
    </row>
    <row r="5365" spans="1:2" x14ac:dyDescent="0.25">
      <c r="A5365" s="4">
        <v>5360</v>
      </c>
      <c r="B5365" s="3" t="str">
        <f>"00448637"</f>
        <v>00448637</v>
      </c>
    </row>
    <row r="5366" spans="1:2" x14ac:dyDescent="0.25">
      <c r="A5366" s="4">
        <v>5361</v>
      </c>
      <c r="B5366" s="3" t="str">
        <f>"00448950"</f>
        <v>00448950</v>
      </c>
    </row>
    <row r="5367" spans="1:2" x14ac:dyDescent="0.25">
      <c r="A5367" s="4">
        <v>5362</v>
      </c>
      <c r="B5367" s="3" t="str">
        <f>"00449181"</f>
        <v>00449181</v>
      </c>
    </row>
    <row r="5368" spans="1:2" x14ac:dyDescent="0.25">
      <c r="A5368" s="4">
        <v>5363</v>
      </c>
      <c r="B5368" s="3" t="str">
        <f>"00449393"</f>
        <v>00449393</v>
      </c>
    </row>
    <row r="5369" spans="1:2" x14ac:dyDescent="0.25">
      <c r="A5369" s="4">
        <v>5364</v>
      </c>
      <c r="B5369" s="3" t="str">
        <f>"00449648"</f>
        <v>00449648</v>
      </c>
    </row>
    <row r="5370" spans="1:2" x14ac:dyDescent="0.25">
      <c r="A5370" s="4">
        <v>5365</v>
      </c>
      <c r="B5370" s="3" t="str">
        <f>"00450497"</f>
        <v>00450497</v>
      </c>
    </row>
    <row r="5371" spans="1:2" x14ac:dyDescent="0.25">
      <c r="A5371" s="4">
        <v>5366</v>
      </c>
      <c r="B5371" s="3" t="str">
        <f>"00450780"</f>
        <v>00450780</v>
      </c>
    </row>
    <row r="5372" spans="1:2" x14ac:dyDescent="0.25">
      <c r="A5372" s="4">
        <v>5367</v>
      </c>
      <c r="B5372" s="3" t="str">
        <f>"00450960"</f>
        <v>00450960</v>
      </c>
    </row>
    <row r="5373" spans="1:2" x14ac:dyDescent="0.25">
      <c r="A5373" s="4">
        <v>5368</v>
      </c>
      <c r="B5373" s="3" t="str">
        <f>"00450999"</f>
        <v>00450999</v>
      </c>
    </row>
    <row r="5374" spans="1:2" x14ac:dyDescent="0.25">
      <c r="A5374" s="4">
        <v>5369</v>
      </c>
      <c r="B5374" s="3" t="str">
        <f>"00451126"</f>
        <v>00451126</v>
      </c>
    </row>
    <row r="5375" spans="1:2" x14ac:dyDescent="0.25">
      <c r="A5375" s="4">
        <v>5370</v>
      </c>
      <c r="B5375" s="3" t="str">
        <f>"00451350"</f>
        <v>00451350</v>
      </c>
    </row>
    <row r="5376" spans="1:2" x14ac:dyDescent="0.25">
      <c r="A5376" s="4">
        <v>5371</v>
      </c>
      <c r="B5376" s="3" t="str">
        <f>"00451610"</f>
        <v>00451610</v>
      </c>
    </row>
    <row r="5377" spans="1:2" x14ac:dyDescent="0.25">
      <c r="A5377" s="4">
        <v>5372</v>
      </c>
      <c r="B5377" s="3" t="str">
        <f>"00451642"</f>
        <v>00451642</v>
      </c>
    </row>
    <row r="5378" spans="1:2" x14ac:dyDescent="0.25">
      <c r="A5378" s="4">
        <v>5373</v>
      </c>
      <c r="B5378" s="3" t="str">
        <f>"00452164"</f>
        <v>00452164</v>
      </c>
    </row>
    <row r="5379" spans="1:2" x14ac:dyDescent="0.25">
      <c r="A5379" s="4">
        <v>5374</v>
      </c>
      <c r="B5379" s="3" t="str">
        <f>"00452277"</f>
        <v>00452277</v>
      </c>
    </row>
    <row r="5380" spans="1:2" x14ac:dyDescent="0.25">
      <c r="A5380" s="4">
        <v>5375</v>
      </c>
      <c r="B5380" s="3" t="str">
        <f>"00452379"</f>
        <v>00452379</v>
      </c>
    </row>
    <row r="5381" spans="1:2" x14ac:dyDescent="0.25">
      <c r="A5381" s="4">
        <v>5376</v>
      </c>
      <c r="B5381" s="3" t="str">
        <f>"00452643"</f>
        <v>00452643</v>
      </c>
    </row>
    <row r="5382" spans="1:2" x14ac:dyDescent="0.25">
      <c r="A5382" s="4">
        <v>5377</v>
      </c>
      <c r="B5382" s="3" t="str">
        <f>"00452813"</f>
        <v>00452813</v>
      </c>
    </row>
    <row r="5383" spans="1:2" x14ac:dyDescent="0.25">
      <c r="A5383" s="4">
        <v>5378</v>
      </c>
      <c r="B5383" s="3" t="str">
        <f>"00452877"</f>
        <v>00452877</v>
      </c>
    </row>
    <row r="5384" spans="1:2" x14ac:dyDescent="0.25">
      <c r="A5384" s="4">
        <v>5379</v>
      </c>
      <c r="B5384" s="3" t="str">
        <f>"00452997"</f>
        <v>00452997</v>
      </c>
    </row>
    <row r="5385" spans="1:2" x14ac:dyDescent="0.25">
      <c r="A5385" s="4">
        <v>5380</v>
      </c>
      <c r="B5385" s="3" t="str">
        <f>"00453030"</f>
        <v>00453030</v>
      </c>
    </row>
    <row r="5386" spans="1:2" x14ac:dyDescent="0.25">
      <c r="A5386" s="4">
        <v>5381</v>
      </c>
      <c r="B5386" s="3" t="str">
        <f>"00453035"</f>
        <v>00453035</v>
      </c>
    </row>
    <row r="5387" spans="1:2" x14ac:dyDescent="0.25">
      <c r="A5387" s="4">
        <v>5382</v>
      </c>
      <c r="B5387" s="3" t="str">
        <f>"00453088"</f>
        <v>00453088</v>
      </c>
    </row>
    <row r="5388" spans="1:2" x14ac:dyDescent="0.25">
      <c r="A5388" s="4">
        <v>5383</v>
      </c>
      <c r="B5388" s="3" t="str">
        <f>"00453254"</f>
        <v>00453254</v>
      </c>
    </row>
    <row r="5389" spans="1:2" x14ac:dyDescent="0.25">
      <c r="A5389" s="4">
        <v>5384</v>
      </c>
      <c r="B5389" s="3" t="str">
        <f>"00453875"</f>
        <v>00453875</v>
      </c>
    </row>
    <row r="5390" spans="1:2" x14ac:dyDescent="0.25">
      <c r="A5390" s="4">
        <v>5385</v>
      </c>
      <c r="B5390" s="3" t="str">
        <f>"00453952"</f>
        <v>00453952</v>
      </c>
    </row>
    <row r="5391" spans="1:2" x14ac:dyDescent="0.25">
      <c r="A5391" s="4">
        <v>5386</v>
      </c>
      <c r="B5391" s="3" t="str">
        <f>"00453996"</f>
        <v>00453996</v>
      </c>
    </row>
    <row r="5392" spans="1:2" x14ac:dyDescent="0.25">
      <c r="A5392" s="4">
        <v>5387</v>
      </c>
      <c r="B5392" s="3" t="str">
        <f>"00454009"</f>
        <v>00454009</v>
      </c>
    </row>
    <row r="5393" spans="1:2" x14ac:dyDescent="0.25">
      <c r="A5393" s="4">
        <v>5388</v>
      </c>
      <c r="B5393" s="3" t="str">
        <f>"00454127"</f>
        <v>00454127</v>
      </c>
    </row>
    <row r="5394" spans="1:2" x14ac:dyDescent="0.25">
      <c r="A5394" s="4">
        <v>5389</v>
      </c>
      <c r="B5394" s="3" t="str">
        <f>"00454148"</f>
        <v>00454148</v>
      </c>
    </row>
    <row r="5395" spans="1:2" x14ac:dyDescent="0.25">
      <c r="A5395" s="4">
        <v>5390</v>
      </c>
      <c r="B5395" s="3" t="str">
        <f>"00454365"</f>
        <v>00454365</v>
      </c>
    </row>
    <row r="5396" spans="1:2" x14ac:dyDescent="0.25">
      <c r="A5396" s="4">
        <v>5391</v>
      </c>
      <c r="B5396" s="3" t="str">
        <f>"00454582"</f>
        <v>00454582</v>
      </c>
    </row>
    <row r="5397" spans="1:2" x14ac:dyDescent="0.25">
      <c r="A5397" s="4">
        <v>5392</v>
      </c>
      <c r="B5397" s="3" t="str">
        <f>"00454653"</f>
        <v>00454653</v>
      </c>
    </row>
    <row r="5398" spans="1:2" x14ac:dyDescent="0.25">
      <c r="A5398" s="4">
        <v>5393</v>
      </c>
      <c r="B5398" s="3" t="str">
        <f>"00455115"</f>
        <v>00455115</v>
      </c>
    </row>
    <row r="5399" spans="1:2" x14ac:dyDescent="0.25">
      <c r="A5399" s="4">
        <v>5394</v>
      </c>
      <c r="B5399" s="3" t="str">
        <f>"00455616"</f>
        <v>00455616</v>
      </c>
    </row>
    <row r="5400" spans="1:2" x14ac:dyDescent="0.25">
      <c r="A5400" s="4">
        <v>5395</v>
      </c>
      <c r="B5400" s="3" t="str">
        <f>"00455782"</f>
        <v>00455782</v>
      </c>
    </row>
    <row r="5401" spans="1:2" x14ac:dyDescent="0.25">
      <c r="A5401" s="4">
        <v>5396</v>
      </c>
      <c r="B5401" s="3" t="str">
        <f>"00455984"</f>
        <v>00455984</v>
      </c>
    </row>
    <row r="5402" spans="1:2" x14ac:dyDescent="0.25">
      <c r="A5402" s="4">
        <v>5397</v>
      </c>
      <c r="B5402" s="3" t="str">
        <f>"00456312"</f>
        <v>00456312</v>
      </c>
    </row>
    <row r="5403" spans="1:2" x14ac:dyDescent="0.25">
      <c r="A5403" s="4">
        <v>5398</v>
      </c>
      <c r="B5403" s="3" t="str">
        <f>"00456389"</f>
        <v>00456389</v>
      </c>
    </row>
    <row r="5404" spans="1:2" x14ac:dyDescent="0.25">
      <c r="A5404" s="4">
        <v>5399</v>
      </c>
      <c r="B5404" s="3" t="str">
        <f>"00456601"</f>
        <v>00456601</v>
      </c>
    </row>
    <row r="5405" spans="1:2" x14ac:dyDescent="0.25">
      <c r="A5405" s="4">
        <v>5400</v>
      </c>
      <c r="B5405" s="3" t="str">
        <f>"00456610"</f>
        <v>00456610</v>
      </c>
    </row>
    <row r="5406" spans="1:2" x14ac:dyDescent="0.25">
      <c r="A5406" s="4">
        <v>5401</v>
      </c>
      <c r="B5406" s="3" t="str">
        <f>"00456692"</f>
        <v>00456692</v>
      </c>
    </row>
    <row r="5407" spans="1:2" x14ac:dyDescent="0.25">
      <c r="A5407" s="4">
        <v>5402</v>
      </c>
      <c r="B5407" s="3" t="str">
        <f>"00456771"</f>
        <v>00456771</v>
      </c>
    </row>
    <row r="5408" spans="1:2" x14ac:dyDescent="0.25">
      <c r="A5408" s="4">
        <v>5403</v>
      </c>
      <c r="B5408" s="3" t="str">
        <f>"00456789"</f>
        <v>00456789</v>
      </c>
    </row>
    <row r="5409" spans="1:2" x14ac:dyDescent="0.25">
      <c r="A5409" s="4">
        <v>5404</v>
      </c>
      <c r="B5409" s="3" t="str">
        <f>"00457035"</f>
        <v>00457035</v>
      </c>
    </row>
    <row r="5410" spans="1:2" x14ac:dyDescent="0.25">
      <c r="A5410" s="4">
        <v>5405</v>
      </c>
      <c r="B5410" s="3" t="str">
        <f>"00457190"</f>
        <v>00457190</v>
      </c>
    </row>
    <row r="5411" spans="1:2" x14ac:dyDescent="0.25">
      <c r="A5411" s="4">
        <v>5406</v>
      </c>
      <c r="B5411" s="3" t="str">
        <f>"00457503"</f>
        <v>00457503</v>
      </c>
    </row>
    <row r="5412" spans="1:2" x14ac:dyDescent="0.25">
      <c r="A5412" s="4">
        <v>5407</v>
      </c>
      <c r="B5412" s="3" t="str">
        <f>"00457705"</f>
        <v>00457705</v>
      </c>
    </row>
    <row r="5413" spans="1:2" x14ac:dyDescent="0.25">
      <c r="A5413" s="4">
        <v>5408</v>
      </c>
      <c r="B5413" s="3" t="str">
        <f>"00457724"</f>
        <v>00457724</v>
      </c>
    </row>
    <row r="5414" spans="1:2" x14ac:dyDescent="0.25">
      <c r="A5414" s="4">
        <v>5409</v>
      </c>
      <c r="B5414" s="3" t="str">
        <f>"00457772"</f>
        <v>00457772</v>
      </c>
    </row>
    <row r="5415" spans="1:2" x14ac:dyDescent="0.25">
      <c r="A5415" s="4">
        <v>5410</v>
      </c>
      <c r="B5415" s="3" t="str">
        <f>"00457855"</f>
        <v>00457855</v>
      </c>
    </row>
    <row r="5416" spans="1:2" x14ac:dyDescent="0.25">
      <c r="A5416" s="4">
        <v>5411</v>
      </c>
      <c r="B5416" s="3" t="str">
        <f>"00457886"</f>
        <v>00457886</v>
      </c>
    </row>
    <row r="5417" spans="1:2" x14ac:dyDescent="0.25">
      <c r="A5417" s="4">
        <v>5412</v>
      </c>
      <c r="B5417" s="3" t="str">
        <f>"00457918"</f>
        <v>00457918</v>
      </c>
    </row>
    <row r="5418" spans="1:2" x14ac:dyDescent="0.25">
      <c r="A5418" s="4">
        <v>5413</v>
      </c>
      <c r="B5418" s="3" t="str">
        <f>"00457925"</f>
        <v>00457925</v>
      </c>
    </row>
    <row r="5419" spans="1:2" x14ac:dyDescent="0.25">
      <c r="A5419" s="4">
        <v>5414</v>
      </c>
      <c r="B5419" s="3" t="str">
        <f>"00457986"</f>
        <v>00457986</v>
      </c>
    </row>
    <row r="5420" spans="1:2" x14ac:dyDescent="0.25">
      <c r="A5420" s="4">
        <v>5415</v>
      </c>
      <c r="B5420" s="3" t="str">
        <f>"00458034"</f>
        <v>00458034</v>
      </c>
    </row>
    <row r="5421" spans="1:2" x14ac:dyDescent="0.25">
      <c r="A5421" s="4">
        <v>5416</v>
      </c>
      <c r="B5421" s="3" t="str">
        <f>"00458070"</f>
        <v>00458070</v>
      </c>
    </row>
    <row r="5422" spans="1:2" x14ac:dyDescent="0.25">
      <c r="A5422" s="4">
        <v>5417</v>
      </c>
      <c r="B5422" s="3" t="str">
        <f>"00458084"</f>
        <v>00458084</v>
      </c>
    </row>
    <row r="5423" spans="1:2" x14ac:dyDescent="0.25">
      <c r="A5423" s="4">
        <v>5418</v>
      </c>
      <c r="B5423" s="3" t="str">
        <f>"00458246"</f>
        <v>00458246</v>
      </c>
    </row>
    <row r="5424" spans="1:2" x14ac:dyDescent="0.25">
      <c r="A5424" s="4">
        <v>5419</v>
      </c>
      <c r="B5424" s="3" t="str">
        <f>"00458272"</f>
        <v>00458272</v>
      </c>
    </row>
    <row r="5425" spans="1:2" x14ac:dyDescent="0.25">
      <c r="A5425" s="4">
        <v>5420</v>
      </c>
      <c r="B5425" s="3" t="str">
        <f>"00458340"</f>
        <v>00458340</v>
      </c>
    </row>
    <row r="5426" spans="1:2" x14ac:dyDescent="0.25">
      <c r="A5426" s="4">
        <v>5421</v>
      </c>
      <c r="B5426" s="3" t="str">
        <f>"00458451"</f>
        <v>00458451</v>
      </c>
    </row>
    <row r="5427" spans="1:2" x14ac:dyDescent="0.25">
      <c r="A5427" s="4">
        <v>5422</v>
      </c>
      <c r="B5427" s="3" t="str">
        <f>"00458470"</f>
        <v>00458470</v>
      </c>
    </row>
    <row r="5428" spans="1:2" x14ac:dyDescent="0.25">
      <c r="A5428" s="4">
        <v>5423</v>
      </c>
      <c r="B5428" s="3" t="str">
        <f>"00458521"</f>
        <v>00458521</v>
      </c>
    </row>
    <row r="5429" spans="1:2" x14ac:dyDescent="0.25">
      <c r="A5429" s="4">
        <v>5424</v>
      </c>
      <c r="B5429" s="3" t="str">
        <f>"00458908"</f>
        <v>00458908</v>
      </c>
    </row>
    <row r="5430" spans="1:2" x14ac:dyDescent="0.25">
      <c r="A5430" s="4">
        <v>5425</v>
      </c>
      <c r="B5430" s="3" t="str">
        <f>"00459000"</f>
        <v>00459000</v>
      </c>
    </row>
    <row r="5431" spans="1:2" x14ac:dyDescent="0.25">
      <c r="A5431" s="4">
        <v>5426</v>
      </c>
      <c r="B5431" s="3" t="str">
        <f>"00459214"</f>
        <v>00459214</v>
      </c>
    </row>
    <row r="5432" spans="1:2" x14ac:dyDescent="0.25">
      <c r="A5432" s="4">
        <v>5427</v>
      </c>
      <c r="B5432" s="3" t="str">
        <f>"00459502"</f>
        <v>00459502</v>
      </c>
    </row>
    <row r="5433" spans="1:2" x14ac:dyDescent="0.25">
      <c r="A5433" s="4">
        <v>5428</v>
      </c>
      <c r="B5433" s="3" t="str">
        <f>"00459510"</f>
        <v>00459510</v>
      </c>
    </row>
    <row r="5434" spans="1:2" x14ac:dyDescent="0.25">
      <c r="A5434" s="4">
        <v>5429</v>
      </c>
      <c r="B5434" s="3" t="str">
        <f>"00459542"</f>
        <v>00459542</v>
      </c>
    </row>
    <row r="5435" spans="1:2" x14ac:dyDescent="0.25">
      <c r="A5435" s="4">
        <v>5430</v>
      </c>
      <c r="B5435" s="3" t="str">
        <f>"00459724"</f>
        <v>00459724</v>
      </c>
    </row>
    <row r="5436" spans="1:2" x14ac:dyDescent="0.25">
      <c r="A5436" s="4">
        <v>5431</v>
      </c>
      <c r="B5436" s="3" t="str">
        <f>"00459776"</f>
        <v>00459776</v>
      </c>
    </row>
    <row r="5437" spans="1:2" x14ac:dyDescent="0.25">
      <c r="A5437" s="4">
        <v>5432</v>
      </c>
      <c r="B5437" s="3" t="str">
        <f>"00460020"</f>
        <v>00460020</v>
      </c>
    </row>
    <row r="5438" spans="1:2" x14ac:dyDescent="0.25">
      <c r="A5438" s="4">
        <v>5433</v>
      </c>
      <c r="B5438" s="3" t="str">
        <f>"00460062"</f>
        <v>00460062</v>
      </c>
    </row>
    <row r="5439" spans="1:2" x14ac:dyDescent="0.25">
      <c r="A5439" s="4">
        <v>5434</v>
      </c>
      <c r="B5439" s="3" t="str">
        <f>"00461049"</f>
        <v>00461049</v>
      </c>
    </row>
    <row r="5440" spans="1:2" x14ac:dyDescent="0.25">
      <c r="A5440" s="4">
        <v>5435</v>
      </c>
      <c r="B5440" s="3" t="str">
        <f>"00461123"</f>
        <v>00461123</v>
      </c>
    </row>
    <row r="5441" spans="1:2" x14ac:dyDescent="0.25">
      <c r="A5441" s="4">
        <v>5436</v>
      </c>
      <c r="B5441" s="3" t="str">
        <f>"00461242"</f>
        <v>00461242</v>
      </c>
    </row>
    <row r="5442" spans="1:2" x14ac:dyDescent="0.25">
      <c r="A5442" s="4">
        <v>5437</v>
      </c>
      <c r="B5442" s="3" t="str">
        <f>"00461417"</f>
        <v>00461417</v>
      </c>
    </row>
    <row r="5443" spans="1:2" x14ac:dyDescent="0.25">
      <c r="A5443" s="4">
        <v>5438</v>
      </c>
      <c r="B5443" s="3" t="str">
        <f>"00461504"</f>
        <v>00461504</v>
      </c>
    </row>
    <row r="5444" spans="1:2" x14ac:dyDescent="0.25">
      <c r="A5444" s="4">
        <v>5439</v>
      </c>
      <c r="B5444" s="3" t="str">
        <f>"00461740"</f>
        <v>00461740</v>
      </c>
    </row>
    <row r="5445" spans="1:2" x14ac:dyDescent="0.25">
      <c r="A5445" s="4">
        <v>5440</v>
      </c>
      <c r="B5445" s="3" t="str">
        <f>"00461795"</f>
        <v>00461795</v>
      </c>
    </row>
    <row r="5446" spans="1:2" x14ac:dyDescent="0.25">
      <c r="A5446" s="4">
        <v>5441</v>
      </c>
      <c r="B5446" s="3" t="str">
        <f>"00462086"</f>
        <v>00462086</v>
      </c>
    </row>
    <row r="5447" spans="1:2" x14ac:dyDescent="0.25">
      <c r="A5447" s="4">
        <v>5442</v>
      </c>
      <c r="B5447" s="3" t="str">
        <f>"00462332"</f>
        <v>00462332</v>
      </c>
    </row>
    <row r="5448" spans="1:2" x14ac:dyDescent="0.25">
      <c r="A5448" s="4">
        <v>5443</v>
      </c>
      <c r="B5448" s="3" t="str">
        <f>"00462498"</f>
        <v>00462498</v>
      </c>
    </row>
    <row r="5449" spans="1:2" x14ac:dyDescent="0.25">
      <c r="A5449" s="4">
        <v>5444</v>
      </c>
      <c r="B5449" s="3" t="str">
        <f>"00462796"</f>
        <v>00462796</v>
      </c>
    </row>
    <row r="5450" spans="1:2" x14ac:dyDescent="0.25">
      <c r="A5450" s="4">
        <v>5445</v>
      </c>
      <c r="B5450" s="3" t="str">
        <f>"00462873"</f>
        <v>00462873</v>
      </c>
    </row>
    <row r="5451" spans="1:2" x14ac:dyDescent="0.25">
      <c r="A5451" s="4">
        <v>5446</v>
      </c>
      <c r="B5451" s="3" t="str">
        <f>"00462886"</f>
        <v>00462886</v>
      </c>
    </row>
    <row r="5452" spans="1:2" x14ac:dyDescent="0.25">
      <c r="A5452" s="4">
        <v>5447</v>
      </c>
      <c r="B5452" s="3" t="str">
        <f>"00462992"</f>
        <v>00462992</v>
      </c>
    </row>
    <row r="5453" spans="1:2" x14ac:dyDescent="0.25">
      <c r="A5453" s="4">
        <v>5448</v>
      </c>
      <c r="B5453" s="3" t="str">
        <f>"00463076"</f>
        <v>00463076</v>
      </c>
    </row>
    <row r="5454" spans="1:2" x14ac:dyDescent="0.25">
      <c r="A5454" s="4">
        <v>5449</v>
      </c>
      <c r="B5454" s="3" t="str">
        <f>"00463132"</f>
        <v>00463132</v>
      </c>
    </row>
    <row r="5455" spans="1:2" x14ac:dyDescent="0.25">
      <c r="A5455" s="4">
        <v>5450</v>
      </c>
      <c r="B5455" s="3" t="str">
        <f>"00463133"</f>
        <v>00463133</v>
      </c>
    </row>
    <row r="5456" spans="1:2" x14ac:dyDescent="0.25">
      <c r="A5456" s="4">
        <v>5451</v>
      </c>
      <c r="B5456" s="3" t="str">
        <f>"00463192"</f>
        <v>00463192</v>
      </c>
    </row>
    <row r="5457" spans="1:2" x14ac:dyDescent="0.25">
      <c r="A5457" s="4">
        <v>5452</v>
      </c>
      <c r="B5457" s="3" t="str">
        <f>"00463202"</f>
        <v>00463202</v>
      </c>
    </row>
    <row r="5458" spans="1:2" x14ac:dyDescent="0.25">
      <c r="A5458" s="4">
        <v>5453</v>
      </c>
      <c r="B5458" s="3" t="str">
        <f>"00463289"</f>
        <v>00463289</v>
      </c>
    </row>
    <row r="5459" spans="1:2" x14ac:dyDescent="0.25">
      <c r="A5459" s="4">
        <v>5454</v>
      </c>
      <c r="B5459" s="3" t="str">
        <f>"00463355"</f>
        <v>00463355</v>
      </c>
    </row>
    <row r="5460" spans="1:2" x14ac:dyDescent="0.25">
      <c r="A5460" s="4">
        <v>5455</v>
      </c>
      <c r="B5460" s="3" t="str">
        <f>"00463435"</f>
        <v>00463435</v>
      </c>
    </row>
    <row r="5461" spans="1:2" x14ac:dyDescent="0.25">
      <c r="A5461" s="4">
        <v>5456</v>
      </c>
      <c r="B5461" s="3" t="str">
        <f>"00463542"</f>
        <v>00463542</v>
      </c>
    </row>
    <row r="5462" spans="1:2" x14ac:dyDescent="0.25">
      <c r="A5462" s="4">
        <v>5457</v>
      </c>
      <c r="B5462" s="3" t="str">
        <f>"00463552"</f>
        <v>00463552</v>
      </c>
    </row>
    <row r="5463" spans="1:2" x14ac:dyDescent="0.25">
      <c r="A5463" s="4">
        <v>5458</v>
      </c>
      <c r="B5463" s="3" t="str">
        <f>"00463560"</f>
        <v>00463560</v>
      </c>
    </row>
    <row r="5464" spans="1:2" x14ac:dyDescent="0.25">
      <c r="A5464" s="4">
        <v>5459</v>
      </c>
      <c r="B5464" s="3" t="str">
        <f>"00463564"</f>
        <v>00463564</v>
      </c>
    </row>
    <row r="5465" spans="1:2" x14ac:dyDescent="0.25">
      <c r="A5465" s="4">
        <v>5460</v>
      </c>
      <c r="B5465" s="3" t="str">
        <f>"00463566"</f>
        <v>00463566</v>
      </c>
    </row>
    <row r="5466" spans="1:2" x14ac:dyDescent="0.25">
      <c r="A5466" s="4">
        <v>5461</v>
      </c>
      <c r="B5466" s="3" t="str">
        <f>"00463714"</f>
        <v>00463714</v>
      </c>
    </row>
    <row r="5467" spans="1:2" x14ac:dyDescent="0.25">
      <c r="A5467" s="4">
        <v>5462</v>
      </c>
      <c r="B5467" s="3" t="str">
        <f>"00463890"</f>
        <v>00463890</v>
      </c>
    </row>
    <row r="5468" spans="1:2" x14ac:dyDescent="0.25">
      <c r="A5468" s="4">
        <v>5463</v>
      </c>
      <c r="B5468" s="3" t="str">
        <f>"00463900"</f>
        <v>00463900</v>
      </c>
    </row>
    <row r="5469" spans="1:2" x14ac:dyDescent="0.25">
      <c r="A5469" s="4">
        <v>5464</v>
      </c>
      <c r="B5469" s="3" t="str">
        <f>"00464202"</f>
        <v>00464202</v>
      </c>
    </row>
    <row r="5470" spans="1:2" x14ac:dyDescent="0.25">
      <c r="A5470" s="4">
        <v>5465</v>
      </c>
      <c r="B5470" s="3" t="str">
        <f>"00464233"</f>
        <v>00464233</v>
      </c>
    </row>
    <row r="5471" spans="1:2" x14ac:dyDescent="0.25">
      <c r="A5471" s="4">
        <v>5466</v>
      </c>
      <c r="B5471" s="3" t="str">
        <f>"00464451"</f>
        <v>00464451</v>
      </c>
    </row>
    <row r="5472" spans="1:2" x14ac:dyDescent="0.25">
      <c r="A5472" s="4">
        <v>5467</v>
      </c>
      <c r="B5472" s="3" t="str">
        <f>"00464453"</f>
        <v>00464453</v>
      </c>
    </row>
    <row r="5473" spans="1:2" x14ac:dyDescent="0.25">
      <c r="A5473" s="4">
        <v>5468</v>
      </c>
      <c r="B5473" s="3" t="str">
        <f>"00464498"</f>
        <v>00464498</v>
      </c>
    </row>
    <row r="5474" spans="1:2" x14ac:dyDescent="0.25">
      <c r="A5474" s="4">
        <v>5469</v>
      </c>
      <c r="B5474" s="3" t="str">
        <f>"00464587"</f>
        <v>00464587</v>
      </c>
    </row>
    <row r="5475" spans="1:2" x14ac:dyDescent="0.25">
      <c r="A5475" s="4">
        <v>5470</v>
      </c>
      <c r="B5475" s="3" t="str">
        <f>"00464602"</f>
        <v>00464602</v>
      </c>
    </row>
    <row r="5476" spans="1:2" x14ac:dyDescent="0.25">
      <c r="A5476" s="4">
        <v>5471</v>
      </c>
      <c r="B5476" s="3" t="str">
        <f>"00464606"</f>
        <v>00464606</v>
      </c>
    </row>
    <row r="5477" spans="1:2" x14ac:dyDescent="0.25">
      <c r="A5477" s="4">
        <v>5472</v>
      </c>
      <c r="B5477" s="3" t="str">
        <f>"00464687"</f>
        <v>00464687</v>
      </c>
    </row>
    <row r="5478" spans="1:2" x14ac:dyDescent="0.25">
      <c r="A5478" s="4">
        <v>5473</v>
      </c>
      <c r="B5478" s="3" t="str">
        <f>"00464692"</f>
        <v>00464692</v>
      </c>
    </row>
    <row r="5479" spans="1:2" x14ac:dyDescent="0.25">
      <c r="A5479" s="4">
        <v>5474</v>
      </c>
      <c r="B5479" s="3" t="str">
        <f>"00464764"</f>
        <v>00464764</v>
      </c>
    </row>
    <row r="5480" spans="1:2" x14ac:dyDescent="0.25">
      <c r="A5480" s="4">
        <v>5475</v>
      </c>
      <c r="B5480" s="3" t="str">
        <f>"00464795"</f>
        <v>00464795</v>
      </c>
    </row>
    <row r="5481" spans="1:2" x14ac:dyDescent="0.25">
      <c r="A5481" s="4">
        <v>5476</v>
      </c>
      <c r="B5481" s="3" t="str">
        <f>"00464996"</f>
        <v>00464996</v>
      </c>
    </row>
    <row r="5482" spans="1:2" x14ac:dyDescent="0.25">
      <c r="A5482" s="4">
        <v>5477</v>
      </c>
      <c r="B5482" s="3" t="str">
        <f>"00465000"</f>
        <v>00465000</v>
      </c>
    </row>
    <row r="5483" spans="1:2" x14ac:dyDescent="0.25">
      <c r="A5483" s="4">
        <v>5478</v>
      </c>
      <c r="B5483" s="3" t="str">
        <f>"00465227"</f>
        <v>00465227</v>
      </c>
    </row>
    <row r="5484" spans="1:2" x14ac:dyDescent="0.25">
      <c r="A5484" s="4">
        <v>5479</v>
      </c>
      <c r="B5484" s="3" t="str">
        <f>"00465391"</f>
        <v>00465391</v>
      </c>
    </row>
    <row r="5485" spans="1:2" x14ac:dyDescent="0.25">
      <c r="A5485" s="4">
        <v>5480</v>
      </c>
      <c r="B5485" s="3" t="str">
        <f>"00465487"</f>
        <v>00465487</v>
      </c>
    </row>
    <row r="5486" spans="1:2" x14ac:dyDescent="0.25">
      <c r="A5486" s="4">
        <v>5481</v>
      </c>
      <c r="B5486" s="3" t="str">
        <f>"00465688"</f>
        <v>00465688</v>
      </c>
    </row>
    <row r="5487" spans="1:2" x14ac:dyDescent="0.25">
      <c r="A5487" s="4">
        <v>5482</v>
      </c>
      <c r="B5487" s="3" t="str">
        <f>"00465894"</f>
        <v>00465894</v>
      </c>
    </row>
    <row r="5488" spans="1:2" x14ac:dyDescent="0.25">
      <c r="A5488" s="4">
        <v>5483</v>
      </c>
      <c r="B5488" s="3" t="str">
        <f>"00465944"</f>
        <v>00465944</v>
      </c>
    </row>
    <row r="5489" spans="1:2" x14ac:dyDescent="0.25">
      <c r="A5489" s="4">
        <v>5484</v>
      </c>
      <c r="B5489" s="3" t="str">
        <f>"00465979"</f>
        <v>00465979</v>
      </c>
    </row>
    <row r="5490" spans="1:2" x14ac:dyDescent="0.25">
      <c r="A5490" s="4">
        <v>5485</v>
      </c>
      <c r="B5490" s="3" t="str">
        <f>"00466079"</f>
        <v>00466079</v>
      </c>
    </row>
    <row r="5491" spans="1:2" x14ac:dyDescent="0.25">
      <c r="A5491" s="4">
        <v>5486</v>
      </c>
      <c r="B5491" s="3" t="str">
        <f>"00466219"</f>
        <v>00466219</v>
      </c>
    </row>
    <row r="5492" spans="1:2" x14ac:dyDescent="0.25">
      <c r="A5492" s="4">
        <v>5487</v>
      </c>
      <c r="B5492" s="3" t="str">
        <f>"00466275"</f>
        <v>00466275</v>
      </c>
    </row>
    <row r="5493" spans="1:2" x14ac:dyDescent="0.25">
      <c r="A5493" s="4">
        <v>5488</v>
      </c>
      <c r="B5493" s="3" t="str">
        <f>"00466373"</f>
        <v>00466373</v>
      </c>
    </row>
    <row r="5494" spans="1:2" x14ac:dyDescent="0.25">
      <c r="A5494" s="4">
        <v>5489</v>
      </c>
      <c r="B5494" s="3" t="str">
        <f>"00466493"</f>
        <v>00466493</v>
      </c>
    </row>
    <row r="5495" spans="1:2" x14ac:dyDescent="0.25">
      <c r="A5495" s="4">
        <v>5490</v>
      </c>
      <c r="B5495" s="3" t="str">
        <f>"00466785"</f>
        <v>00466785</v>
      </c>
    </row>
    <row r="5496" spans="1:2" x14ac:dyDescent="0.25">
      <c r="A5496" s="4">
        <v>5491</v>
      </c>
      <c r="B5496" s="3" t="str">
        <f>"00466876"</f>
        <v>00466876</v>
      </c>
    </row>
    <row r="5497" spans="1:2" x14ac:dyDescent="0.25">
      <c r="A5497" s="4">
        <v>5492</v>
      </c>
      <c r="B5497" s="3" t="str">
        <f>"00467089"</f>
        <v>00467089</v>
      </c>
    </row>
    <row r="5498" spans="1:2" x14ac:dyDescent="0.25">
      <c r="A5498" s="4">
        <v>5493</v>
      </c>
      <c r="B5498" s="3" t="str">
        <f>"00467442"</f>
        <v>00467442</v>
      </c>
    </row>
    <row r="5499" spans="1:2" x14ac:dyDescent="0.25">
      <c r="A5499" s="4">
        <v>5494</v>
      </c>
      <c r="B5499" s="3" t="str">
        <f>"00467562"</f>
        <v>00467562</v>
      </c>
    </row>
    <row r="5500" spans="1:2" x14ac:dyDescent="0.25">
      <c r="A5500" s="4">
        <v>5495</v>
      </c>
      <c r="B5500" s="3" t="str">
        <f>"00467742"</f>
        <v>00467742</v>
      </c>
    </row>
    <row r="5501" spans="1:2" x14ac:dyDescent="0.25">
      <c r="A5501" s="4">
        <v>5496</v>
      </c>
      <c r="B5501" s="3" t="str">
        <f>"00467838"</f>
        <v>00467838</v>
      </c>
    </row>
    <row r="5502" spans="1:2" x14ac:dyDescent="0.25">
      <c r="A5502" s="4">
        <v>5497</v>
      </c>
      <c r="B5502" s="3" t="str">
        <f>"00468428"</f>
        <v>00468428</v>
      </c>
    </row>
    <row r="5503" spans="1:2" x14ac:dyDescent="0.25">
      <c r="A5503" s="4">
        <v>5498</v>
      </c>
      <c r="B5503" s="3" t="str">
        <f>"00468579"</f>
        <v>00468579</v>
      </c>
    </row>
    <row r="5504" spans="1:2" x14ac:dyDescent="0.25">
      <c r="A5504" s="4">
        <v>5499</v>
      </c>
      <c r="B5504" s="3" t="str">
        <f>"00468588"</f>
        <v>00468588</v>
      </c>
    </row>
    <row r="5505" spans="1:2" x14ac:dyDescent="0.25">
      <c r="A5505" s="4">
        <v>5500</v>
      </c>
      <c r="B5505" s="3" t="str">
        <f>"00468596"</f>
        <v>00468596</v>
      </c>
    </row>
    <row r="5506" spans="1:2" x14ac:dyDescent="0.25">
      <c r="A5506" s="4">
        <v>5501</v>
      </c>
      <c r="B5506" s="3" t="str">
        <f>"00468670"</f>
        <v>00468670</v>
      </c>
    </row>
    <row r="5507" spans="1:2" x14ac:dyDescent="0.25">
      <c r="A5507" s="4">
        <v>5502</v>
      </c>
      <c r="B5507" s="3" t="str">
        <f>"00468677"</f>
        <v>00468677</v>
      </c>
    </row>
    <row r="5508" spans="1:2" x14ac:dyDescent="0.25">
      <c r="A5508" s="4">
        <v>5503</v>
      </c>
      <c r="B5508" s="3" t="str">
        <f>"00468736"</f>
        <v>00468736</v>
      </c>
    </row>
    <row r="5509" spans="1:2" x14ac:dyDescent="0.25">
      <c r="A5509" s="4">
        <v>5504</v>
      </c>
      <c r="B5509" s="3" t="str">
        <f>"00468925"</f>
        <v>00468925</v>
      </c>
    </row>
    <row r="5510" spans="1:2" x14ac:dyDescent="0.25">
      <c r="A5510" s="4">
        <v>5505</v>
      </c>
      <c r="B5510" s="3" t="str">
        <f>"00468945"</f>
        <v>00468945</v>
      </c>
    </row>
    <row r="5511" spans="1:2" x14ac:dyDescent="0.25">
      <c r="A5511" s="4">
        <v>5506</v>
      </c>
      <c r="B5511" s="3" t="str">
        <f>"00468983"</f>
        <v>00468983</v>
      </c>
    </row>
    <row r="5512" spans="1:2" x14ac:dyDescent="0.25">
      <c r="A5512" s="4">
        <v>5507</v>
      </c>
      <c r="B5512" s="3" t="str">
        <f>"00469025"</f>
        <v>00469025</v>
      </c>
    </row>
    <row r="5513" spans="1:2" x14ac:dyDescent="0.25">
      <c r="A5513" s="4">
        <v>5508</v>
      </c>
      <c r="B5513" s="3" t="str">
        <f>"00469071"</f>
        <v>00469071</v>
      </c>
    </row>
    <row r="5514" spans="1:2" x14ac:dyDescent="0.25">
      <c r="A5514" s="4">
        <v>5509</v>
      </c>
      <c r="B5514" s="3" t="str">
        <f>"00469083"</f>
        <v>00469083</v>
      </c>
    </row>
    <row r="5515" spans="1:2" x14ac:dyDescent="0.25">
      <c r="A5515" s="4">
        <v>5510</v>
      </c>
      <c r="B5515" s="3" t="str">
        <f>"00469119"</f>
        <v>00469119</v>
      </c>
    </row>
    <row r="5516" spans="1:2" x14ac:dyDescent="0.25">
      <c r="A5516" s="4">
        <v>5511</v>
      </c>
      <c r="B5516" s="3" t="str">
        <f>"00469126"</f>
        <v>00469126</v>
      </c>
    </row>
    <row r="5517" spans="1:2" x14ac:dyDescent="0.25">
      <c r="A5517" s="4">
        <v>5512</v>
      </c>
      <c r="B5517" s="3" t="str">
        <f>"00469138"</f>
        <v>00469138</v>
      </c>
    </row>
    <row r="5518" spans="1:2" x14ac:dyDescent="0.25">
      <c r="A5518" s="4">
        <v>5513</v>
      </c>
      <c r="B5518" s="3" t="str">
        <f>"00469152"</f>
        <v>00469152</v>
      </c>
    </row>
    <row r="5519" spans="1:2" x14ac:dyDescent="0.25">
      <c r="A5519" s="4">
        <v>5514</v>
      </c>
      <c r="B5519" s="3" t="str">
        <f>"00469242"</f>
        <v>00469242</v>
      </c>
    </row>
    <row r="5520" spans="1:2" x14ac:dyDescent="0.25">
      <c r="A5520" s="4">
        <v>5515</v>
      </c>
      <c r="B5520" s="3" t="str">
        <f>"00469244"</f>
        <v>00469244</v>
      </c>
    </row>
    <row r="5521" spans="1:2" x14ac:dyDescent="0.25">
      <c r="A5521" s="4">
        <v>5516</v>
      </c>
      <c r="B5521" s="3" t="str">
        <f>"00469248"</f>
        <v>00469248</v>
      </c>
    </row>
    <row r="5522" spans="1:2" x14ac:dyDescent="0.25">
      <c r="A5522" s="4">
        <v>5517</v>
      </c>
      <c r="B5522" s="3" t="str">
        <f>"00469255"</f>
        <v>00469255</v>
      </c>
    </row>
    <row r="5523" spans="1:2" x14ac:dyDescent="0.25">
      <c r="A5523" s="4">
        <v>5518</v>
      </c>
      <c r="B5523" s="3" t="str">
        <f>"00469300"</f>
        <v>00469300</v>
      </c>
    </row>
    <row r="5524" spans="1:2" x14ac:dyDescent="0.25">
      <c r="A5524" s="4">
        <v>5519</v>
      </c>
      <c r="B5524" s="3" t="str">
        <f>"00469327"</f>
        <v>00469327</v>
      </c>
    </row>
    <row r="5525" spans="1:2" x14ac:dyDescent="0.25">
      <c r="A5525" s="4">
        <v>5520</v>
      </c>
      <c r="B5525" s="3" t="str">
        <f>"00469328"</f>
        <v>00469328</v>
      </c>
    </row>
    <row r="5526" spans="1:2" x14ac:dyDescent="0.25">
      <c r="A5526" s="4">
        <v>5521</v>
      </c>
      <c r="B5526" s="3" t="str">
        <f>"00469356"</f>
        <v>00469356</v>
      </c>
    </row>
    <row r="5527" spans="1:2" x14ac:dyDescent="0.25">
      <c r="A5527" s="4">
        <v>5522</v>
      </c>
      <c r="B5527" s="3" t="str">
        <f>"00469358"</f>
        <v>00469358</v>
      </c>
    </row>
    <row r="5528" spans="1:2" x14ac:dyDescent="0.25">
      <c r="A5528" s="4">
        <v>5523</v>
      </c>
      <c r="B5528" s="3" t="str">
        <f>"00469370"</f>
        <v>00469370</v>
      </c>
    </row>
    <row r="5529" spans="1:2" x14ac:dyDescent="0.25">
      <c r="A5529" s="4">
        <v>5524</v>
      </c>
      <c r="B5529" s="3" t="str">
        <f>"00469389"</f>
        <v>00469389</v>
      </c>
    </row>
    <row r="5530" spans="1:2" x14ac:dyDescent="0.25">
      <c r="A5530" s="4">
        <v>5525</v>
      </c>
      <c r="B5530" s="3" t="str">
        <f>"00469439"</f>
        <v>00469439</v>
      </c>
    </row>
    <row r="5531" spans="1:2" x14ac:dyDescent="0.25">
      <c r="A5531" s="4">
        <v>5526</v>
      </c>
      <c r="B5531" s="3" t="str">
        <f>"00469440"</f>
        <v>00469440</v>
      </c>
    </row>
    <row r="5532" spans="1:2" x14ac:dyDescent="0.25">
      <c r="A5532" s="4">
        <v>5527</v>
      </c>
      <c r="B5532" s="3" t="str">
        <f>"00469476"</f>
        <v>00469476</v>
      </c>
    </row>
    <row r="5533" spans="1:2" x14ac:dyDescent="0.25">
      <c r="A5533" s="4">
        <v>5528</v>
      </c>
      <c r="B5533" s="3" t="str">
        <f>"00469482"</f>
        <v>00469482</v>
      </c>
    </row>
    <row r="5534" spans="1:2" x14ac:dyDescent="0.25">
      <c r="A5534" s="4">
        <v>5529</v>
      </c>
      <c r="B5534" s="3" t="str">
        <f>"00469484"</f>
        <v>00469484</v>
      </c>
    </row>
    <row r="5535" spans="1:2" x14ac:dyDescent="0.25">
      <c r="A5535" s="4">
        <v>5530</v>
      </c>
      <c r="B5535" s="3" t="str">
        <f>"00469517"</f>
        <v>00469517</v>
      </c>
    </row>
    <row r="5536" spans="1:2" x14ac:dyDescent="0.25">
      <c r="A5536" s="4">
        <v>5531</v>
      </c>
      <c r="B5536" s="3" t="str">
        <f>"00469574"</f>
        <v>00469574</v>
      </c>
    </row>
    <row r="5537" spans="1:2" x14ac:dyDescent="0.25">
      <c r="A5537" s="4">
        <v>5532</v>
      </c>
      <c r="B5537" s="3" t="str">
        <f>"00469583"</f>
        <v>00469583</v>
      </c>
    </row>
    <row r="5538" spans="1:2" x14ac:dyDescent="0.25">
      <c r="A5538" s="4">
        <v>5533</v>
      </c>
      <c r="B5538" s="3" t="str">
        <f>"00469630"</f>
        <v>00469630</v>
      </c>
    </row>
    <row r="5539" spans="1:2" x14ac:dyDescent="0.25">
      <c r="A5539" s="4">
        <v>5534</v>
      </c>
      <c r="B5539" s="3" t="str">
        <f>"00469638"</f>
        <v>00469638</v>
      </c>
    </row>
    <row r="5540" spans="1:2" x14ac:dyDescent="0.25">
      <c r="A5540" s="4">
        <v>5535</v>
      </c>
      <c r="B5540" s="3" t="str">
        <f>"00469641"</f>
        <v>00469641</v>
      </c>
    </row>
    <row r="5541" spans="1:2" x14ac:dyDescent="0.25">
      <c r="A5541" s="4">
        <v>5536</v>
      </c>
      <c r="B5541" s="3" t="str">
        <f>"00469657"</f>
        <v>00469657</v>
      </c>
    </row>
    <row r="5542" spans="1:2" x14ac:dyDescent="0.25">
      <c r="A5542" s="4">
        <v>5537</v>
      </c>
      <c r="B5542" s="3" t="str">
        <f>"00469659"</f>
        <v>00469659</v>
      </c>
    </row>
    <row r="5543" spans="1:2" x14ac:dyDescent="0.25">
      <c r="A5543" s="4">
        <v>5538</v>
      </c>
      <c r="B5543" s="3" t="str">
        <f>"00469696"</f>
        <v>00469696</v>
      </c>
    </row>
    <row r="5544" spans="1:2" x14ac:dyDescent="0.25">
      <c r="A5544" s="4">
        <v>5539</v>
      </c>
      <c r="B5544" s="3" t="str">
        <f>"00469712"</f>
        <v>00469712</v>
      </c>
    </row>
    <row r="5545" spans="1:2" x14ac:dyDescent="0.25">
      <c r="A5545" s="4">
        <v>5540</v>
      </c>
      <c r="B5545" s="3" t="str">
        <f>"00469715"</f>
        <v>00469715</v>
      </c>
    </row>
    <row r="5546" spans="1:2" x14ac:dyDescent="0.25">
      <c r="A5546" s="4">
        <v>5541</v>
      </c>
      <c r="B5546" s="3" t="str">
        <f>"00469723"</f>
        <v>00469723</v>
      </c>
    </row>
    <row r="5547" spans="1:2" x14ac:dyDescent="0.25">
      <c r="A5547" s="4">
        <v>5542</v>
      </c>
      <c r="B5547" s="3" t="str">
        <f>"00469726"</f>
        <v>00469726</v>
      </c>
    </row>
    <row r="5548" spans="1:2" x14ac:dyDescent="0.25">
      <c r="A5548" s="4">
        <v>5543</v>
      </c>
      <c r="B5548" s="3" t="str">
        <f>"00469727"</f>
        <v>00469727</v>
      </c>
    </row>
    <row r="5549" spans="1:2" x14ac:dyDescent="0.25">
      <c r="A5549" s="4">
        <v>5544</v>
      </c>
      <c r="B5549" s="3" t="str">
        <f>"00469732"</f>
        <v>00469732</v>
      </c>
    </row>
    <row r="5550" spans="1:2" x14ac:dyDescent="0.25">
      <c r="A5550" s="4">
        <v>5545</v>
      </c>
      <c r="B5550" s="3" t="str">
        <f>"00469741"</f>
        <v>00469741</v>
      </c>
    </row>
    <row r="5551" spans="1:2" x14ac:dyDescent="0.25">
      <c r="A5551" s="4">
        <v>5546</v>
      </c>
      <c r="B5551" s="3" t="str">
        <f>"00469761"</f>
        <v>00469761</v>
      </c>
    </row>
    <row r="5552" spans="1:2" x14ac:dyDescent="0.25">
      <c r="A5552" s="4">
        <v>5547</v>
      </c>
      <c r="B5552" s="3" t="str">
        <f>"00469769"</f>
        <v>00469769</v>
      </c>
    </row>
    <row r="5553" spans="1:2" x14ac:dyDescent="0.25">
      <c r="A5553" s="4">
        <v>5548</v>
      </c>
      <c r="B5553" s="3" t="str">
        <f>"00469783"</f>
        <v>00469783</v>
      </c>
    </row>
    <row r="5554" spans="1:2" x14ac:dyDescent="0.25">
      <c r="A5554" s="4">
        <v>5549</v>
      </c>
      <c r="B5554" s="3" t="str">
        <f>"00469786"</f>
        <v>00469786</v>
      </c>
    </row>
    <row r="5555" spans="1:2" x14ac:dyDescent="0.25">
      <c r="A5555" s="4">
        <v>5550</v>
      </c>
      <c r="B5555" s="3" t="str">
        <f>"00469807"</f>
        <v>00469807</v>
      </c>
    </row>
    <row r="5556" spans="1:2" x14ac:dyDescent="0.25">
      <c r="A5556" s="4">
        <v>5551</v>
      </c>
      <c r="B5556" s="3" t="str">
        <f>"00469808"</f>
        <v>00469808</v>
      </c>
    </row>
    <row r="5557" spans="1:2" x14ac:dyDescent="0.25">
      <c r="A5557" s="4">
        <v>5552</v>
      </c>
      <c r="B5557" s="3" t="str">
        <f>"00469811"</f>
        <v>00469811</v>
      </c>
    </row>
    <row r="5558" spans="1:2" x14ac:dyDescent="0.25">
      <c r="A5558" s="4">
        <v>5553</v>
      </c>
      <c r="B5558" s="3" t="str">
        <f>"00469814"</f>
        <v>00469814</v>
      </c>
    </row>
    <row r="5559" spans="1:2" x14ac:dyDescent="0.25">
      <c r="A5559" s="4">
        <v>5554</v>
      </c>
      <c r="B5559" s="3" t="str">
        <f>"00469822"</f>
        <v>00469822</v>
      </c>
    </row>
    <row r="5560" spans="1:2" x14ac:dyDescent="0.25">
      <c r="A5560" s="4">
        <v>5555</v>
      </c>
      <c r="B5560" s="3" t="str">
        <f>"00469825"</f>
        <v>00469825</v>
      </c>
    </row>
    <row r="5561" spans="1:2" x14ac:dyDescent="0.25">
      <c r="A5561" s="4">
        <v>5556</v>
      </c>
      <c r="B5561" s="3" t="str">
        <f>"00469830"</f>
        <v>00469830</v>
      </c>
    </row>
    <row r="5562" spans="1:2" x14ac:dyDescent="0.25">
      <c r="A5562" s="4">
        <v>5557</v>
      </c>
      <c r="B5562" s="3" t="str">
        <f>"00469854"</f>
        <v>00469854</v>
      </c>
    </row>
    <row r="5563" spans="1:2" x14ac:dyDescent="0.25">
      <c r="A5563" s="4">
        <v>5558</v>
      </c>
      <c r="B5563" s="3" t="str">
        <f>"00469864"</f>
        <v>00469864</v>
      </c>
    </row>
    <row r="5564" spans="1:2" x14ac:dyDescent="0.25">
      <c r="A5564" s="4">
        <v>5559</v>
      </c>
      <c r="B5564" s="3" t="str">
        <f>"00469867"</f>
        <v>00469867</v>
      </c>
    </row>
    <row r="5565" spans="1:2" x14ac:dyDescent="0.25">
      <c r="A5565" s="4">
        <v>5560</v>
      </c>
      <c r="B5565" s="3" t="str">
        <f>"00469874"</f>
        <v>00469874</v>
      </c>
    </row>
    <row r="5566" spans="1:2" x14ac:dyDescent="0.25">
      <c r="A5566" s="4">
        <v>5561</v>
      </c>
      <c r="B5566" s="3" t="str">
        <f>"00469875"</f>
        <v>00469875</v>
      </c>
    </row>
    <row r="5567" spans="1:2" x14ac:dyDescent="0.25">
      <c r="A5567" s="4">
        <v>5562</v>
      </c>
      <c r="B5567" s="3" t="str">
        <f>"00469913"</f>
        <v>00469913</v>
      </c>
    </row>
    <row r="5568" spans="1:2" x14ac:dyDescent="0.25">
      <c r="A5568" s="4">
        <v>5563</v>
      </c>
      <c r="B5568" s="3" t="str">
        <f>"00469918"</f>
        <v>00469918</v>
      </c>
    </row>
    <row r="5569" spans="1:2" x14ac:dyDescent="0.25">
      <c r="A5569" s="4">
        <v>5564</v>
      </c>
      <c r="B5569" s="3" t="str">
        <f>"00469922"</f>
        <v>00469922</v>
      </c>
    </row>
    <row r="5570" spans="1:2" x14ac:dyDescent="0.25">
      <c r="A5570" s="4">
        <v>5565</v>
      </c>
      <c r="B5570" s="3" t="str">
        <f>"00469923"</f>
        <v>00469923</v>
      </c>
    </row>
    <row r="5571" spans="1:2" x14ac:dyDescent="0.25">
      <c r="A5571" s="4">
        <v>5566</v>
      </c>
      <c r="B5571" s="3" t="str">
        <f>"00469949"</f>
        <v>00469949</v>
      </c>
    </row>
    <row r="5572" spans="1:2" x14ac:dyDescent="0.25">
      <c r="A5572" s="4">
        <v>5567</v>
      </c>
      <c r="B5572" s="3" t="str">
        <f>"00469978"</f>
        <v>00469978</v>
      </c>
    </row>
    <row r="5573" spans="1:2" x14ac:dyDescent="0.25">
      <c r="A5573" s="4">
        <v>5568</v>
      </c>
      <c r="B5573" s="3" t="str">
        <f>"00469989"</f>
        <v>00469989</v>
      </c>
    </row>
    <row r="5574" spans="1:2" x14ac:dyDescent="0.25">
      <c r="A5574" s="4">
        <v>5569</v>
      </c>
      <c r="B5574" s="3" t="str">
        <f>"00469993"</f>
        <v>00469993</v>
      </c>
    </row>
    <row r="5575" spans="1:2" x14ac:dyDescent="0.25">
      <c r="A5575" s="4">
        <v>5570</v>
      </c>
      <c r="B5575" s="3" t="str">
        <f>"00470233"</f>
        <v>00470233</v>
      </c>
    </row>
    <row r="5576" spans="1:2" x14ac:dyDescent="0.25">
      <c r="A5576" s="4">
        <v>5571</v>
      </c>
      <c r="B5576" s="3" t="str">
        <f>"00470255"</f>
        <v>00470255</v>
      </c>
    </row>
    <row r="5577" spans="1:2" x14ac:dyDescent="0.25">
      <c r="A5577" s="4">
        <v>5572</v>
      </c>
      <c r="B5577" s="3" t="str">
        <f>"00470261"</f>
        <v>00470261</v>
      </c>
    </row>
    <row r="5578" spans="1:2" x14ac:dyDescent="0.25">
      <c r="A5578" s="4">
        <v>5573</v>
      </c>
      <c r="B5578" s="3" t="str">
        <f>"00470264"</f>
        <v>00470264</v>
      </c>
    </row>
    <row r="5579" spans="1:2" x14ac:dyDescent="0.25">
      <c r="A5579" s="4">
        <v>5574</v>
      </c>
      <c r="B5579" s="3" t="str">
        <f>"00470267"</f>
        <v>00470267</v>
      </c>
    </row>
    <row r="5580" spans="1:2" x14ac:dyDescent="0.25">
      <c r="A5580" s="4">
        <v>5575</v>
      </c>
      <c r="B5580" s="3" t="str">
        <f>"00470268"</f>
        <v>00470268</v>
      </c>
    </row>
    <row r="5581" spans="1:2" x14ac:dyDescent="0.25">
      <c r="A5581" s="4">
        <v>5576</v>
      </c>
      <c r="B5581" s="3" t="str">
        <f>"00470277"</f>
        <v>00470277</v>
      </c>
    </row>
    <row r="5582" spans="1:2" x14ac:dyDescent="0.25">
      <c r="A5582" s="4">
        <v>5577</v>
      </c>
      <c r="B5582" s="3" t="str">
        <f>"00470281"</f>
        <v>00470281</v>
      </c>
    </row>
    <row r="5583" spans="1:2" x14ac:dyDescent="0.25">
      <c r="A5583" s="4">
        <v>5578</v>
      </c>
      <c r="B5583" s="3" t="str">
        <f>"00470282"</f>
        <v>00470282</v>
      </c>
    </row>
    <row r="5584" spans="1:2" x14ac:dyDescent="0.25">
      <c r="A5584" s="4">
        <v>5579</v>
      </c>
      <c r="B5584" s="3" t="str">
        <f>"00470284"</f>
        <v>00470284</v>
      </c>
    </row>
    <row r="5585" spans="1:2" x14ac:dyDescent="0.25">
      <c r="A5585" s="4">
        <v>5580</v>
      </c>
      <c r="B5585" s="3" t="str">
        <f>"00470289"</f>
        <v>00470289</v>
      </c>
    </row>
    <row r="5586" spans="1:2" x14ac:dyDescent="0.25">
      <c r="A5586" s="4">
        <v>5581</v>
      </c>
      <c r="B5586" s="3" t="str">
        <f>"00470291"</f>
        <v>00470291</v>
      </c>
    </row>
    <row r="5587" spans="1:2" x14ac:dyDescent="0.25">
      <c r="A5587" s="4">
        <v>5582</v>
      </c>
      <c r="B5587" s="3" t="str">
        <f>"00470292"</f>
        <v>00470292</v>
      </c>
    </row>
    <row r="5588" spans="1:2" x14ac:dyDescent="0.25">
      <c r="A5588" s="4">
        <v>5583</v>
      </c>
      <c r="B5588" s="3" t="str">
        <f>"00470294"</f>
        <v>00470294</v>
      </c>
    </row>
    <row r="5589" spans="1:2" x14ac:dyDescent="0.25">
      <c r="A5589" s="4">
        <v>5584</v>
      </c>
      <c r="B5589" s="3" t="str">
        <f>"00470317"</f>
        <v>00470317</v>
      </c>
    </row>
    <row r="5590" spans="1:2" x14ac:dyDescent="0.25">
      <c r="A5590" s="4">
        <v>5585</v>
      </c>
      <c r="B5590" s="3" t="str">
        <f>"00470322"</f>
        <v>00470322</v>
      </c>
    </row>
    <row r="5591" spans="1:2" x14ac:dyDescent="0.25">
      <c r="A5591" s="4">
        <v>5586</v>
      </c>
      <c r="B5591" s="3" t="str">
        <f>"00470326"</f>
        <v>00470326</v>
      </c>
    </row>
    <row r="5592" spans="1:2" x14ac:dyDescent="0.25">
      <c r="A5592" s="4">
        <v>5587</v>
      </c>
      <c r="B5592" s="3" t="str">
        <f>"00470331"</f>
        <v>00470331</v>
      </c>
    </row>
    <row r="5593" spans="1:2" x14ac:dyDescent="0.25">
      <c r="A5593" s="4">
        <v>5588</v>
      </c>
      <c r="B5593" s="3" t="str">
        <f>"00470354"</f>
        <v>00470354</v>
      </c>
    </row>
    <row r="5594" spans="1:2" x14ac:dyDescent="0.25">
      <c r="A5594" s="4">
        <v>5589</v>
      </c>
      <c r="B5594" s="3" t="str">
        <f>"00470356"</f>
        <v>00470356</v>
      </c>
    </row>
    <row r="5595" spans="1:2" x14ac:dyDescent="0.25">
      <c r="A5595" s="4">
        <v>5590</v>
      </c>
      <c r="B5595" s="3" t="str">
        <f>"00470378"</f>
        <v>00470378</v>
      </c>
    </row>
    <row r="5596" spans="1:2" x14ac:dyDescent="0.25">
      <c r="A5596" s="4">
        <v>5591</v>
      </c>
      <c r="B5596" s="3" t="str">
        <f>"00470420"</f>
        <v>00470420</v>
      </c>
    </row>
    <row r="5597" spans="1:2" x14ac:dyDescent="0.25">
      <c r="A5597" s="4">
        <v>5592</v>
      </c>
      <c r="B5597" s="3" t="str">
        <f>"00470422"</f>
        <v>00470422</v>
      </c>
    </row>
    <row r="5598" spans="1:2" x14ac:dyDescent="0.25">
      <c r="A5598" s="4">
        <v>5593</v>
      </c>
      <c r="B5598" s="3" t="str">
        <f>"00470426"</f>
        <v>00470426</v>
      </c>
    </row>
    <row r="5599" spans="1:2" x14ac:dyDescent="0.25">
      <c r="A5599" s="4">
        <v>5594</v>
      </c>
      <c r="B5599" s="3" t="str">
        <f>"00470438"</f>
        <v>00470438</v>
      </c>
    </row>
    <row r="5600" spans="1:2" x14ac:dyDescent="0.25">
      <c r="A5600" s="4">
        <v>5595</v>
      </c>
      <c r="B5600" s="3" t="str">
        <f>"00470444"</f>
        <v>00470444</v>
      </c>
    </row>
    <row r="5601" spans="1:2" x14ac:dyDescent="0.25">
      <c r="A5601" s="4">
        <v>5596</v>
      </c>
      <c r="B5601" s="3" t="str">
        <f>"00470491"</f>
        <v>00470491</v>
      </c>
    </row>
    <row r="5602" spans="1:2" x14ac:dyDescent="0.25">
      <c r="A5602" s="4">
        <v>5597</v>
      </c>
      <c r="B5602" s="3" t="str">
        <f>"00470493"</f>
        <v>00470493</v>
      </c>
    </row>
    <row r="5603" spans="1:2" x14ac:dyDescent="0.25">
      <c r="A5603" s="4">
        <v>5598</v>
      </c>
      <c r="B5603" s="3" t="str">
        <f>"00470496"</f>
        <v>00470496</v>
      </c>
    </row>
    <row r="5604" spans="1:2" x14ac:dyDescent="0.25">
      <c r="A5604" s="4">
        <v>5599</v>
      </c>
      <c r="B5604" s="3" t="str">
        <f>"00470502"</f>
        <v>00470502</v>
      </c>
    </row>
    <row r="5605" spans="1:2" x14ac:dyDescent="0.25">
      <c r="A5605" s="4">
        <v>5600</v>
      </c>
      <c r="B5605" s="3" t="str">
        <f>"00470504"</f>
        <v>00470504</v>
      </c>
    </row>
    <row r="5606" spans="1:2" x14ac:dyDescent="0.25">
      <c r="A5606" s="4">
        <v>5601</v>
      </c>
      <c r="B5606" s="3" t="str">
        <f>"00470506"</f>
        <v>00470506</v>
      </c>
    </row>
    <row r="5607" spans="1:2" x14ac:dyDescent="0.25">
      <c r="A5607" s="4">
        <v>5602</v>
      </c>
      <c r="B5607" s="3" t="str">
        <f>"00470509"</f>
        <v>00470509</v>
      </c>
    </row>
    <row r="5608" spans="1:2" x14ac:dyDescent="0.25">
      <c r="A5608" s="4">
        <v>5603</v>
      </c>
      <c r="B5608" s="3" t="str">
        <f>"00470517"</f>
        <v>00470517</v>
      </c>
    </row>
    <row r="5609" spans="1:2" x14ac:dyDescent="0.25">
      <c r="A5609" s="4">
        <v>5604</v>
      </c>
      <c r="B5609" s="3" t="str">
        <f>"00470522"</f>
        <v>00470522</v>
      </c>
    </row>
    <row r="5610" spans="1:2" x14ac:dyDescent="0.25">
      <c r="A5610" s="4">
        <v>5605</v>
      </c>
      <c r="B5610" s="3" t="str">
        <f>"00470526"</f>
        <v>00470526</v>
      </c>
    </row>
    <row r="5611" spans="1:2" x14ac:dyDescent="0.25">
      <c r="A5611" s="4">
        <v>5606</v>
      </c>
      <c r="B5611" s="3" t="str">
        <f>"00470551"</f>
        <v>00470551</v>
      </c>
    </row>
    <row r="5612" spans="1:2" x14ac:dyDescent="0.25">
      <c r="A5612" s="4">
        <v>5607</v>
      </c>
      <c r="B5612" s="3" t="str">
        <f>"00470554"</f>
        <v>00470554</v>
      </c>
    </row>
    <row r="5613" spans="1:2" x14ac:dyDescent="0.25">
      <c r="A5613" s="4">
        <v>5608</v>
      </c>
      <c r="B5613" s="3" t="str">
        <f>"00470557"</f>
        <v>00470557</v>
      </c>
    </row>
    <row r="5614" spans="1:2" x14ac:dyDescent="0.25">
      <c r="A5614" s="4">
        <v>5609</v>
      </c>
      <c r="B5614" s="3" t="str">
        <f>"00470558"</f>
        <v>00470558</v>
      </c>
    </row>
    <row r="5615" spans="1:2" x14ac:dyDescent="0.25">
      <c r="A5615" s="4">
        <v>5610</v>
      </c>
      <c r="B5615" s="3" t="str">
        <f>"00470564"</f>
        <v>00470564</v>
      </c>
    </row>
    <row r="5616" spans="1:2" x14ac:dyDescent="0.25">
      <c r="A5616" s="4">
        <v>5611</v>
      </c>
      <c r="B5616" s="3" t="str">
        <f>"00470573"</f>
        <v>00470573</v>
      </c>
    </row>
    <row r="5617" spans="1:2" x14ac:dyDescent="0.25">
      <c r="A5617" s="4">
        <v>5612</v>
      </c>
      <c r="B5617" s="3" t="str">
        <f>"00470585"</f>
        <v>00470585</v>
      </c>
    </row>
    <row r="5618" spans="1:2" x14ac:dyDescent="0.25">
      <c r="A5618" s="4">
        <v>5613</v>
      </c>
      <c r="B5618" s="3" t="str">
        <f>"00470587"</f>
        <v>00470587</v>
      </c>
    </row>
    <row r="5619" spans="1:2" x14ac:dyDescent="0.25">
      <c r="A5619" s="4">
        <v>5614</v>
      </c>
      <c r="B5619" s="3" t="str">
        <f>"00470590"</f>
        <v>00470590</v>
      </c>
    </row>
    <row r="5620" spans="1:2" x14ac:dyDescent="0.25">
      <c r="A5620" s="4">
        <v>5615</v>
      </c>
      <c r="B5620" s="3" t="str">
        <f>"00470596"</f>
        <v>00470596</v>
      </c>
    </row>
    <row r="5621" spans="1:2" x14ac:dyDescent="0.25">
      <c r="A5621" s="4">
        <v>5616</v>
      </c>
      <c r="B5621" s="3" t="str">
        <f>"00470617"</f>
        <v>00470617</v>
      </c>
    </row>
    <row r="5622" spans="1:2" x14ac:dyDescent="0.25">
      <c r="A5622" s="4">
        <v>5617</v>
      </c>
      <c r="B5622" s="3" t="str">
        <f>"00470619"</f>
        <v>00470619</v>
      </c>
    </row>
    <row r="5623" spans="1:2" x14ac:dyDescent="0.25">
      <c r="A5623" s="4">
        <v>5618</v>
      </c>
      <c r="B5623" s="3" t="str">
        <f>"00470646"</f>
        <v>00470646</v>
      </c>
    </row>
    <row r="5624" spans="1:2" x14ac:dyDescent="0.25">
      <c r="A5624" s="4">
        <v>5619</v>
      </c>
      <c r="B5624" s="3" t="str">
        <f>"00470664"</f>
        <v>00470664</v>
      </c>
    </row>
    <row r="5625" spans="1:2" x14ac:dyDescent="0.25">
      <c r="A5625" s="4">
        <v>5620</v>
      </c>
      <c r="B5625" s="3" t="str">
        <f>"00470671"</f>
        <v>00470671</v>
      </c>
    </row>
    <row r="5626" spans="1:2" x14ac:dyDescent="0.25">
      <c r="A5626" s="4">
        <v>5621</v>
      </c>
      <c r="B5626" s="3" t="str">
        <f>"00470678"</f>
        <v>00470678</v>
      </c>
    </row>
    <row r="5627" spans="1:2" x14ac:dyDescent="0.25">
      <c r="A5627" s="4">
        <v>5622</v>
      </c>
      <c r="B5627" s="3" t="str">
        <f>"00470715"</f>
        <v>00470715</v>
      </c>
    </row>
    <row r="5628" spans="1:2" x14ac:dyDescent="0.25">
      <c r="A5628" s="4">
        <v>5623</v>
      </c>
      <c r="B5628" s="3" t="str">
        <f>"00470716"</f>
        <v>00470716</v>
      </c>
    </row>
    <row r="5629" spans="1:2" x14ac:dyDescent="0.25">
      <c r="A5629" s="4">
        <v>5624</v>
      </c>
      <c r="B5629" s="3" t="str">
        <f>"00470724"</f>
        <v>00470724</v>
      </c>
    </row>
    <row r="5630" spans="1:2" x14ac:dyDescent="0.25">
      <c r="A5630" s="4">
        <v>5625</v>
      </c>
      <c r="B5630" s="3" t="str">
        <f>"00470725"</f>
        <v>00470725</v>
      </c>
    </row>
    <row r="5631" spans="1:2" x14ac:dyDescent="0.25">
      <c r="A5631" s="4">
        <v>5626</v>
      </c>
      <c r="B5631" s="3" t="str">
        <f>"00470747"</f>
        <v>00470747</v>
      </c>
    </row>
    <row r="5632" spans="1:2" x14ac:dyDescent="0.25">
      <c r="A5632" s="4">
        <v>5627</v>
      </c>
      <c r="B5632" s="3" t="str">
        <f>"00470757"</f>
        <v>00470757</v>
      </c>
    </row>
    <row r="5633" spans="1:2" x14ac:dyDescent="0.25">
      <c r="A5633" s="4">
        <v>5628</v>
      </c>
      <c r="B5633" s="3" t="str">
        <f>"00470758"</f>
        <v>00470758</v>
      </c>
    </row>
    <row r="5634" spans="1:2" x14ac:dyDescent="0.25">
      <c r="A5634" s="4">
        <v>5629</v>
      </c>
      <c r="B5634" s="3" t="str">
        <f>"00470781"</f>
        <v>00470781</v>
      </c>
    </row>
    <row r="5635" spans="1:2" x14ac:dyDescent="0.25">
      <c r="A5635" s="4">
        <v>5630</v>
      </c>
      <c r="B5635" s="3" t="str">
        <f>"00470782"</f>
        <v>00470782</v>
      </c>
    </row>
    <row r="5636" spans="1:2" x14ac:dyDescent="0.25">
      <c r="A5636" s="4">
        <v>5631</v>
      </c>
      <c r="B5636" s="3" t="str">
        <f>"00470796"</f>
        <v>00470796</v>
      </c>
    </row>
    <row r="5637" spans="1:2" x14ac:dyDescent="0.25">
      <c r="A5637" s="4">
        <v>5632</v>
      </c>
      <c r="B5637" s="3" t="str">
        <f>"00470803"</f>
        <v>00470803</v>
      </c>
    </row>
    <row r="5638" spans="1:2" x14ac:dyDescent="0.25">
      <c r="A5638" s="4">
        <v>5633</v>
      </c>
      <c r="B5638" s="3" t="str">
        <f>"00470825"</f>
        <v>00470825</v>
      </c>
    </row>
    <row r="5639" spans="1:2" x14ac:dyDescent="0.25">
      <c r="A5639" s="4">
        <v>5634</v>
      </c>
      <c r="B5639" s="3" t="str">
        <f>"00470836"</f>
        <v>00470836</v>
      </c>
    </row>
    <row r="5640" spans="1:2" x14ac:dyDescent="0.25">
      <c r="A5640" s="4">
        <v>5635</v>
      </c>
      <c r="B5640" s="3" t="str">
        <f>"00470852"</f>
        <v>00470852</v>
      </c>
    </row>
    <row r="5641" spans="1:2" x14ac:dyDescent="0.25">
      <c r="A5641" s="4">
        <v>5636</v>
      </c>
      <c r="B5641" s="3" t="str">
        <f>"00470862"</f>
        <v>00470862</v>
      </c>
    </row>
    <row r="5642" spans="1:2" x14ac:dyDescent="0.25">
      <c r="A5642" s="4">
        <v>5637</v>
      </c>
      <c r="B5642" s="3" t="str">
        <f>"00470887"</f>
        <v>00470887</v>
      </c>
    </row>
    <row r="5643" spans="1:2" x14ac:dyDescent="0.25">
      <c r="A5643" s="4">
        <v>5638</v>
      </c>
      <c r="B5643" s="3" t="str">
        <f>"00470890"</f>
        <v>00470890</v>
      </c>
    </row>
    <row r="5644" spans="1:2" x14ac:dyDescent="0.25">
      <c r="A5644" s="4">
        <v>5639</v>
      </c>
      <c r="B5644" s="3" t="str">
        <f>"00470897"</f>
        <v>00470897</v>
      </c>
    </row>
    <row r="5645" spans="1:2" x14ac:dyDescent="0.25">
      <c r="A5645" s="4">
        <v>5640</v>
      </c>
      <c r="B5645" s="3" t="str">
        <f>"00470898"</f>
        <v>00470898</v>
      </c>
    </row>
    <row r="5646" spans="1:2" x14ac:dyDescent="0.25">
      <c r="A5646" s="4">
        <v>5641</v>
      </c>
      <c r="B5646" s="3" t="str">
        <f>"00470899"</f>
        <v>00470899</v>
      </c>
    </row>
    <row r="5647" spans="1:2" x14ac:dyDescent="0.25">
      <c r="A5647" s="4">
        <v>5642</v>
      </c>
      <c r="B5647" s="3" t="str">
        <f>"00470953"</f>
        <v>00470953</v>
      </c>
    </row>
    <row r="5648" spans="1:2" x14ac:dyDescent="0.25">
      <c r="A5648" s="4">
        <v>5643</v>
      </c>
      <c r="B5648" s="3" t="str">
        <f>"00470965"</f>
        <v>00470965</v>
      </c>
    </row>
    <row r="5649" spans="1:2" x14ac:dyDescent="0.25">
      <c r="A5649" s="4">
        <v>5644</v>
      </c>
      <c r="B5649" s="3" t="str">
        <f>"00470966"</f>
        <v>00470966</v>
      </c>
    </row>
    <row r="5650" spans="1:2" x14ac:dyDescent="0.25">
      <c r="A5650" s="4">
        <v>5645</v>
      </c>
      <c r="B5650" s="3" t="str">
        <f>"00470980"</f>
        <v>00470980</v>
      </c>
    </row>
    <row r="5651" spans="1:2" x14ac:dyDescent="0.25">
      <c r="A5651" s="4">
        <v>5646</v>
      </c>
      <c r="B5651" s="3" t="str">
        <f>"00470982"</f>
        <v>00470982</v>
      </c>
    </row>
    <row r="5652" spans="1:2" x14ac:dyDescent="0.25">
      <c r="A5652" s="4">
        <v>5647</v>
      </c>
      <c r="B5652" s="3" t="str">
        <f>"00470997"</f>
        <v>00470997</v>
      </c>
    </row>
    <row r="5653" spans="1:2" x14ac:dyDescent="0.25">
      <c r="A5653" s="4">
        <v>5648</v>
      </c>
      <c r="B5653" s="3" t="str">
        <f>"00471010"</f>
        <v>00471010</v>
      </c>
    </row>
    <row r="5654" spans="1:2" x14ac:dyDescent="0.25">
      <c r="A5654" s="4">
        <v>5649</v>
      </c>
      <c r="B5654" s="3" t="str">
        <f>"00471029"</f>
        <v>00471029</v>
      </c>
    </row>
    <row r="5655" spans="1:2" x14ac:dyDescent="0.25">
      <c r="A5655" s="4">
        <v>5650</v>
      </c>
      <c r="B5655" s="3" t="str">
        <f>"00471038"</f>
        <v>00471038</v>
      </c>
    </row>
    <row r="5656" spans="1:2" x14ac:dyDescent="0.25">
      <c r="A5656" s="4">
        <v>5651</v>
      </c>
      <c r="B5656" s="3" t="str">
        <f>"00471047"</f>
        <v>00471047</v>
      </c>
    </row>
    <row r="5657" spans="1:2" x14ac:dyDescent="0.25">
      <c r="A5657" s="4">
        <v>5652</v>
      </c>
      <c r="B5657" s="3" t="str">
        <f>"00471154"</f>
        <v>00471154</v>
      </c>
    </row>
    <row r="5658" spans="1:2" x14ac:dyDescent="0.25">
      <c r="A5658" s="4">
        <v>5653</v>
      </c>
      <c r="B5658" s="3" t="str">
        <f>"00471157"</f>
        <v>00471157</v>
      </c>
    </row>
    <row r="5659" spans="1:2" x14ac:dyDescent="0.25">
      <c r="A5659" s="4">
        <v>5654</v>
      </c>
      <c r="B5659" s="3" t="str">
        <f>"00471218"</f>
        <v>00471218</v>
      </c>
    </row>
    <row r="5660" spans="1:2" x14ac:dyDescent="0.25">
      <c r="A5660" s="4">
        <v>5655</v>
      </c>
      <c r="B5660" s="3" t="str">
        <f>"00471219"</f>
        <v>00471219</v>
      </c>
    </row>
    <row r="5661" spans="1:2" x14ac:dyDescent="0.25">
      <c r="A5661" s="4">
        <v>5656</v>
      </c>
      <c r="B5661" s="3" t="str">
        <f>"00471220"</f>
        <v>00471220</v>
      </c>
    </row>
    <row r="5662" spans="1:2" x14ac:dyDescent="0.25">
      <c r="A5662" s="4">
        <v>5657</v>
      </c>
      <c r="B5662" s="3" t="str">
        <f>"00471224"</f>
        <v>00471224</v>
      </c>
    </row>
    <row r="5663" spans="1:2" x14ac:dyDescent="0.25">
      <c r="A5663" s="4">
        <v>5658</v>
      </c>
      <c r="B5663" s="3" t="str">
        <f>"00471237"</f>
        <v>00471237</v>
      </c>
    </row>
    <row r="5664" spans="1:2" x14ac:dyDescent="0.25">
      <c r="A5664" s="4">
        <v>5659</v>
      </c>
      <c r="B5664" s="3" t="str">
        <f>"00471261"</f>
        <v>00471261</v>
      </c>
    </row>
    <row r="5665" spans="1:2" x14ac:dyDescent="0.25">
      <c r="A5665" s="4">
        <v>5660</v>
      </c>
      <c r="B5665" s="3" t="str">
        <f>"00471295"</f>
        <v>00471295</v>
      </c>
    </row>
    <row r="5666" spans="1:2" x14ac:dyDescent="0.25">
      <c r="A5666" s="4">
        <v>5661</v>
      </c>
      <c r="B5666" s="3" t="str">
        <f>"00471296"</f>
        <v>00471296</v>
      </c>
    </row>
    <row r="5667" spans="1:2" x14ac:dyDescent="0.25">
      <c r="A5667" s="4">
        <v>5662</v>
      </c>
      <c r="B5667" s="3" t="str">
        <f>"00471301"</f>
        <v>00471301</v>
      </c>
    </row>
    <row r="5668" spans="1:2" x14ac:dyDescent="0.25">
      <c r="A5668" s="4">
        <v>5663</v>
      </c>
      <c r="B5668" s="3" t="str">
        <f>"00471306"</f>
        <v>00471306</v>
      </c>
    </row>
    <row r="5669" spans="1:2" x14ac:dyDescent="0.25">
      <c r="A5669" s="4">
        <v>5664</v>
      </c>
      <c r="B5669" s="3" t="str">
        <f>"00471399"</f>
        <v>00471399</v>
      </c>
    </row>
    <row r="5670" spans="1:2" x14ac:dyDescent="0.25">
      <c r="A5670" s="4">
        <v>5665</v>
      </c>
      <c r="B5670" s="3" t="str">
        <f>"00471407"</f>
        <v>00471407</v>
      </c>
    </row>
    <row r="5671" spans="1:2" x14ac:dyDescent="0.25">
      <c r="A5671" s="4">
        <v>5666</v>
      </c>
      <c r="B5671" s="3" t="str">
        <f>"00471408"</f>
        <v>00471408</v>
      </c>
    </row>
    <row r="5672" spans="1:2" x14ac:dyDescent="0.25">
      <c r="A5672" s="4">
        <v>5667</v>
      </c>
      <c r="B5672" s="3" t="str">
        <f>"00471444"</f>
        <v>00471444</v>
      </c>
    </row>
    <row r="5673" spans="1:2" x14ac:dyDescent="0.25">
      <c r="A5673" s="4">
        <v>5668</v>
      </c>
      <c r="B5673" s="3" t="str">
        <f>"00471466"</f>
        <v>00471466</v>
      </c>
    </row>
    <row r="5674" spans="1:2" x14ac:dyDescent="0.25">
      <c r="A5674" s="4">
        <v>5669</v>
      </c>
      <c r="B5674" s="3" t="str">
        <f>"00471477"</f>
        <v>00471477</v>
      </c>
    </row>
    <row r="5675" spans="1:2" x14ac:dyDescent="0.25">
      <c r="A5675" s="4">
        <v>5670</v>
      </c>
      <c r="B5675" s="3" t="str">
        <f>"00471597"</f>
        <v>00471597</v>
      </c>
    </row>
    <row r="5676" spans="1:2" x14ac:dyDescent="0.25">
      <c r="A5676" s="4">
        <v>5671</v>
      </c>
      <c r="B5676" s="3" t="str">
        <f>"00471634"</f>
        <v>00471634</v>
      </c>
    </row>
    <row r="5677" spans="1:2" x14ac:dyDescent="0.25">
      <c r="A5677" s="4">
        <v>5672</v>
      </c>
      <c r="B5677" s="3" t="str">
        <f>"00471649"</f>
        <v>00471649</v>
      </c>
    </row>
    <row r="5678" spans="1:2" x14ac:dyDescent="0.25">
      <c r="A5678" s="4">
        <v>5673</v>
      </c>
      <c r="B5678" s="3" t="str">
        <f>"00471694"</f>
        <v>00471694</v>
      </c>
    </row>
    <row r="5679" spans="1:2" x14ac:dyDescent="0.25">
      <c r="A5679" s="4">
        <v>5674</v>
      </c>
      <c r="B5679" s="3" t="str">
        <f>"00471700"</f>
        <v>00471700</v>
      </c>
    </row>
    <row r="5680" spans="1:2" x14ac:dyDescent="0.25">
      <c r="A5680" s="4">
        <v>5675</v>
      </c>
      <c r="B5680" s="3" t="str">
        <f>"00471709"</f>
        <v>00471709</v>
      </c>
    </row>
    <row r="5681" spans="1:2" x14ac:dyDescent="0.25">
      <c r="A5681" s="4">
        <v>5676</v>
      </c>
      <c r="B5681" s="3" t="str">
        <f>"00471725"</f>
        <v>00471725</v>
      </c>
    </row>
    <row r="5682" spans="1:2" x14ac:dyDescent="0.25">
      <c r="A5682" s="4">
        <v>5677</v>
      </c>
      <c r="B5682" s="3" t="str">
        <f>"00471760"</f>
        <v>00471760</v>
      </c>
    </row>
    <row r="5683" spans="1:2" x14ac:dyDescent="0.25">
      <c r="A5683" s="4">
        <v>5678</v>
      </c>
      <c r="B5683" s="3" t="str">
        <f>"00471784"</f>
        <v>00471784</v>
      </c>
    </row>
    <row r="5684" spans="1:2" x14ac:dyDescent="0.25">
      <c r="A5684" s="4">
        <v>5679</v>
      </c>
      <c r="B5684" s="3" t="str">
        <f>"00471804"</f>
        <v>00471804</v>
      </c>
    </row>
    <row r="5685" spans="1:2" x14ac:dyDescent="0.25">
      <c r="A5685" s="4">
        <v>5680</v>
      </c>
      <c r="B5685" s="3" t="str">
        <f>"00471805"</f>
        <v>00471805</v>
      </c>
    </row>
    <row r="5686" spans="1:2" x14ac:dyDescent="0.25">
      <c r="A5686" s="4">
        <v>5681</v>
      </c>
      <c r="B5686" s="3" t="str">
        <f>"00471815"</f>
        <v>00471815</v>
      </c>
    </row>
    <row r="5687" spans="1:2" x14ac:dyDescent="0.25">
      <c r="A5687" s="4">
        <v>5682</v>
      </c>
      <c r="B5687" s="3" t="str">
        <f>"00471891"</f>
        <v>00471891</v>
      </c>
    </row>
    <row r="5688" spans="1:2" x14ac:dyDescent="0.25">
      <c r="A5688" s="4">
        <v>5683</v>
      </c>
      <c r="B5688" s="3" t="str">
        <f>"00471925"</f>
        <v>00471925</v>
      </c>
    </row>
    <row r="5689" spans="1:2" x14ac:dyDescent="0.25">
      <c r="A5689" s="4">
        <v>5684</v>
      </c>
      <c r="B5689" s="3" t="str">
        <f>"00471942"</f>
        <v>00471942</v>
      </c>
    </row>
    <row r="5690" spans="1:2" x14ac:dyDescent="0.25">
      <c r="A5690" s="4">
        <v>5685</v>
      </c>
      <c r="B5690" s="3" t="str">
        <f>"00471943"</f>
        <v>00471943</v>
      </c>
    </row>
    <row r="5691" spans="1:2" x14ac:dyDescent="0.25">
      <c r="A5691" s="4">
        <v>5686</v>
      </c>
      <c r="B5691" s="3" t="str">
        <f>"00471949"</f>
        <v>00471949</v>
      </c>
    </row>
    <row r="5692" spans="1:2" x14ac:dyDescent="0.25">
      <c r="A5692" s="4">
        <v>5687</v>
      </c>
      <c r="B5692" s="3" t="str">
        <f>"00471953"</f>
        <v>00471953</v>
      </c>
    </row>
    <row r="5693" spans="1:2" x14ac:dyDescent="0.25">
      <c r="A5693" s="4">
        <v>5688</v>
      </c>
      <c r="B5693" s="3" t="str">
        <f>"00471969"</f>
        <v>00471969</v>
      </c>
    </row>
    <row r="5694" spans="1:2" x14ac:dyDescent="0.25">
      <c r="A5694" s="4">
        <v>5689</v>
      </c>
      <c r="B5694" s="3" t="str">
        <f>"00471997"</f>
        <v>00471997</v>
      </c>
    </row>
    <row r="5695" spans="1:2" x14ac:dyDescent="0.25">
      <c r="A5695" s="4">
        <v>5690</v>
      </c>
      <c r="B5695" s="3" t="str">
        <f>"00472012"</f>
        <v>00472012</v>
      </c>
    </row>
    <row r="5696" spans="1:2" x14ac:dyDescent="0.25">
      <c r="A5696" s="4">
        <v>5691</v>
      </c>
      <c r="B5696" s="3" t="str">
        <f>"00472026"</f>
        <v>00472026</v>
      </c>
    </row>
    <row r="5697" spans="1:2" x14ac:dyDescent="0.25">
      <c r="A5697" s="4">
        <v>5692</v>
      </c>
      <c r="B5697" s="3" t="str">
        <f>"00472047"</f>
        <v>00472047</v>
      </c>
    </row>
    <row r="5698" spans="1:2" x14ac:dyDescent="0.25">
      <c r="A5698" s="4">
        <v>5693</v>
      </c>
      <c r="B5698" s="3" t="str">
        <f>"00472113"</f>
        <v>00472113</v>
      </c>
    </row>
    <row r="5699" spans="1:2" x14ac:dyDescent="0.25">
      <c r="A5699" s="4">
        <v>5694</v>
      </c>
      <c r="B5699" s="3" t="str">
        <f>"00472133"</f>
        <v>00472133</v>
      </c>
    </row>
    <row r="5700" spans="1:2" x14ac:dyDescent="0.25">
      <c r="A5700" s="4">
        <v>5695</v>
      </c>
      <c r="B5700" s="3" t="str">
        <f>"00472174"</f>
        <v>00472174</v>
      </c>
    </row>
    <row r="5701" spans="1:2" x14ac:dyDescent="0.25">
      <c r="A5701" s="4">
        <v>5696</v>
      </c>
      <c r="B5701" s="3" t="str">
        <f>"00472180"</f>
        <v>00472180</v>
      </c>
    </row>
    <row r="5702" spans="1:2" x14ac:dyDescent="0.25">
      <c r="A5702" s="4">
        <v>5697</v>
      </c>
      <c r="B5702" s="3" t="str">
        <f>"00472184"</f>
        <v>00472184</v>
      </c>
    </row>
    <row r="5703" spans="1:2" x14ac:dyDescent="0.25">
      <c r="A5703" s="4">
        <v>5698</v>
      </c>
      <c r="B5703" s="3" t="str">
        <f>"00472208"</f>
        <v>00472208</v>
      </c>
    </row>
    <row r="5704" spans="1:2" x14ac:dyDescent="0.25">
      <c r="A5704" s="4">
        <v>5699</v>
      </c>
      <c r="B5704" s="3" t="str">
        <f>"00472218"</f>
        <v>00472218</v>
      </c>
    </row>
    <row r="5705" spans="1:2" x14ac:dyDescent="0.25">
      <c r="A5705" s="4">
        <v>5700</v>
      </c>
      <c r="B5705" s="3" t="str">
        <f>"00472233"</f>
        <v>00472233</v>
      </c>
    </row>
    <row r="5706" spans="1:2" x14ac:dyDescent="0.25">
      <c r="A5706" s="4">
        <v>5701</v>
      </c>
      <c r="B5706" s="3" t="str">
        <f>"00472236"</f>
        <v>00472236</v>
      </c>
    </row>
    <row r="5707" spans="1:2" x14ac:dyDescent="0.25">
      <c r="A5707" s="4">
        <v>5702</v>
      </c>
      <c r="B5707" s="3" t="str">
        <f>"00472237"</f>
        <v>00472237</v>
      </c>
    </row>
    <row r="5708" spans="1:2" x14ac:dyDescent="0.25">
      <c r="A5708" s="4">
        <v>5703</v>
      </c>
      <c r="B5708" s="3" t="str">
        <f>"00472245"</f>
        <v>00472245</v>
      </c>
    </row>
    <row r="5709" spans="1:2" x14ac:dyDescent="0.25">
      <c r="A5709" s="4">
        <v>5704</v>
      </c>
      <c r="B5709" s="3" t="str">
        <f>"00472252"</f>
        <v>00472252</v>
      </c>
    </row>
    <row r="5710" spans="1:2" x14ac:dyDescent="0.25">
      <c r="A5710" s="4">
        <v>5705</v>
      </c>
      <c r="B5710" s="3" t="str">
        <f>"00472274"</f>
        <v>00472274</v>
      </c>
    </row>
    <row r="5711" spans="1:2" x14ac:dyDescent="0.25">
      <c r="A5711" s="4">
        <v>5706</v>
      </c>
      <c r="B5711" s="3" t="str">
        <f>"00472276"</f>
        <v>00472276</v>
      </c>
    </row>
    <row r="5712" spans="1:2" x14ac:dyDescent="0.25">
      <c r="A5712" s="4">
        <v>5707</v>
      </c>
      <c r="B5712" s="3" t="str">
        <f>"00472291"</f>
        <v>00472291</v>
      </c>
    </row>
    <row r="5713" spans="1:2" x14ac:dyDescent="0.25">
      <c r="A5713" s="4">
        <v>5708</v>
      </c>
      <c r="B5713" s="3" t="str">
        <f>"00472306"</f>
        <v>00472306</v>
      </c>
    </row>
    <row r="5714" spans="1:2" x14ac:dyDescent="0.25">
      <c r="A5714" s="4">
        <v>5709</v>
      </c>
      <c r="B5714" s="3" t="str">
        <f>"00472362"</f>
        <v>00472362</v>
      </c>
    </row>
    <row r="5715" spans="1:2" x14ac:dyDescent="0.25">
      <c r="A5715" s="4">
        <v>5710</v>
      </c>
      <c r="B5715" s="3" t="str">
        <f>"00472363"</f>
        <v>00472363</v>
      </c>
    </row>
    <row r="5716" spans="1:2" x14ac:dyDescent="0.25">
      <c r="A5716" s="4">
        <v>5711</v>
      </c>
      <c r="B5716" s="3" t="str">
        <f>"00472364"</f>
        <v>00472364</v>
      </c>
    </row>
    <row r="5717" spans="1:2" x14ac:dyDescent="0.25">
      <c r="A5717" s="4">
        <v>5712</v>
      </c>
      <c r="B5717" s="3" t="str">
        <f>"00472367"</f>
        <v>00472367</v>
      </c>
    </row>
    <row r="5718" spans="1:2" x14ac:dyDescent="0.25">
      <c r="A5718" s="4">
        <v>5713</v>
      </c>
      <c r="B5718" s="3" t="str">
        <f>"00472368"</f>
        <v>00472368</v>
      </c>
    </row>
    <row r="5719" spans="1:2" x14ac:dyDescent="0.25">
      <c r="A5719" s="4">
        <v>5714</v>
      </c>
      <c r="B5719" s="3" t="str">
        <f>"00472375"</f>
        <v>00472375</v>
      </c>
    </row>
    <row r="5720" spans="1:2" x14ac:dyDescent="0.25">
      <c r="A5720" s="4">
        <v>5715</v>
      </c>
      <c r="B5720" s="3" t="str">
        <f>"00472394"</f>
        <v>00472394</v>
      </c>
    </row>
    <row r="5721" spans="1:2" x14ac:dyDescent="0.25">
      <c r="A5721" s="4">
        <v>5716</v>
      </c>
      <c r="B5721" s="3" t="str">
        <f>"00472404"</f>
        <v>00472404</v>
      </c>
    </row>
    <row r="5722" spans="1:2" x14ac:dyDescent="0.25">
      <c r="A5722" s="4">
        <v>5717</v>
      </c>
      <c r="B5722" s="3" t="str">
        <f>"00472407"</f>
        <v>00472407</v>
      </c>
    </row>
    <row r="5723" spans="1:2" x14ac:dyDescent="0.25">
      <c r="A5723" s="4">
        <v>5718</v>
      </c>
      <c r="B5723" s="3" t="str">
        <f>"00472411"</f>
        <v>00472411</v>
      </c>
    </row>
    <row r="5724" spans="1:2" x14ac:dyDescent="0.25">
      <c r="A5724" s="4">
        <v>5719</v>
      </c>
      <c r="B5724" s="3" t="str">
        <f>"00472443"</f>
        <v>00472443</v>
      </c>
    </row>
    <row r="5725" spans="1:2" x14ac:dyDescent="0.25">
      <c r="A5725" s="4">
        <v>5720</v>
      </c>
      <c r="B5725" s="3" t="str">
        <f>"00472493"</f>
        <v>00472493</v>
      </c>
    </row>
    <row r="5726" spans="1:2" x14ac:dyDescent="0.25">
      <c r="A5726" s="4">
        <v>5721</v>
      </c>
      <c r="B5726" s="3" t="str">
        <f>"00472497"</f>
        <v>00472497</v>
      </c>
    </row>
    <row r="5727" spans="1:2" x14ac:dyDescent="0.25">
      <c r="A5727" s="4">
        <v>5722</v>
      </c>
      <c r="B5727" s="3" t="str">
        <f>"00472509"</f>
        <v>00472509</v>
      </c>
    </row>
    <row r="5728" spans="1:2" x14ac:dyDescent="0.25">
      <c r="A5728" s="4">
        <v>5723</v>
      </c>
      <c r="B5728" s="3" t="str">
        <f>"00472510"</f>
        <v>00472510</v>
      </c>
    </row>
    <row r="5729" spans="1:2" x14ac:dyDescent="0.25">
      <c r="A5729" s="4">
        <v>5724</v>
      </c>
      <c r="B5729" s="3" t="str">
        <f>"00472535"</f>
        <v>00472535</v>
      </c>
    </row>
    <row r="5730" spans="1:2" x14ac:dyDescent="0.25">
      <c r="A5730" s="4">
        <v>5725</v>
      </c>
      <c r="B5730" s="3" t="str">
        <f>"00472544"</f>
        <v>00472544</v>
      </c>
    </row>
    <row r="5731" spans="1:2" x14ac:dyDescent="0.25">
      <c r="A5731" s="4">
        <v>5726</v>
      </c>
      <c r="B5731" s="3" t="str">
        <f>"00472658"</f>
        <v>00472658</v>
      </c>
    </row>
    <row r="5732" spans="1:2" x14ac:dyDescent="0.25">
      <c r="A5732" s="4">
        <v>5727</v>
      </c>
      <c r="B5732" s="3" t="str">
        <f>"00472659"</f>
        <v>00472659</v>
      </c>
    </row>
    <row r="5733" spans="1:2" x14ac:dyDescent="0.25">
      <c r="A5733" s="4">
        <v>5728</v>
      </c>
      <c r="B5733" s="3" t="str">
        <f>"00472804"</f>
        <v>00472804</v>
      </c>
    </row>
    <row r="5734" spans="1:2" x14ac:dyDescent="0.25">
      <c r="A5734" s="4">
        <v>5729</v>
      </c>
      <c r="B5734" s="3" t="str">
        <f>"00472815"</f>
        <v>00472815</v>
      </c>
    </row>
    <row r="5735" spans="1:2" x14ac:dyDescent="0.25">
      <c r="A5735" s="4">
        <v>5730</v>
      </c>
      <c r="B5735" s="3" t="str">
        <f>"00472872"</f>
        <v>00472872</v>
      </c>
    </row>
    <row r="5736" spans="1:2" x14ac:dyDescent="0.25">
      <c r="A5736" s="4">
        <v>5731</v>
      </c>
      <c r="B5736" s="3" t="str">
        <f>"00472875"</f>
        <v>00472875</v>
      </c>
    </row>
    <row r="5737" spans="1:2" x14ac:dyDescent="0.25">
      <c r="A5737" s="4">
        <v>5732</v>
      </c>
      <c r="B5737" s="3" t="str">
        <f>"00472888"</f>
        <v>00472888</v>
      </c>
    </row>
    <row r="5738" spans="1:2" x14ac:dyDescent="0.25">
      <c r="A5738" s="4">
        <v>5733</v>
      </c>
      <c r="B5738" s="3" t="str">
        <f>"00472892"</f>
        <v>00472892</v>
      </c>
    </row>
    <row r="5739" spans="1:2" x14ac:dyDescent="0.25">
      <c r="A5739" s="4">
        <v>5734</v>
      </c>
      <c r="B5739" s="3" t="str">
        <f>"00472907"</f>
        <v>00472907</v>
      </c>
    </row>
    <row r="5740" spans="1:2" x14ac:dyDescent="0.25">
      <c r="A5740" s="4">
        <v>5735</v>
      </c>
      <c r="B5740" s="3" t="str">
        <f>"00472916"</f>
        <v>00472916</v>
      </c>
    </row>
    <row r="5741" spans="1:2" x14ac:dyDescent="0.25">
      <c r="A5741" s="4">
        <v>5736</v>
      </c>
      <c r="B5741" s="3" t="str">
        <f>"00473036"</f>
        <v>00473036</v>
      </c>
    </row>
    <row r="5742" spans="1:2" x14ac:dyDescent="0.25">
      <c r="A5742" s="4">
        <v>5737</v>
      </c>
      <c r="B5742" s="3" t="str">
        <f>"00473043"</f>
        <v>00473043</v>
      </c>
    </row>
    <row r="5743" spans="1:2" x14ac:dyDescent="0.25">
      <c r="A5743" s="4">
        <v>5738</v>
      </c>
      <c r="B5743" s="3" t="str">
        <f>"00473048"</f>
        <v>00473048</v>
      </c>
    </row>
    <row r="5744" spans="1:2" x14ac:dyDescent="0.25">
      <c r="A5744" s="4">
        <v>5739</v>
      </c>
      <c r="B5744" s="3" t="str">
        <f>"00473052"</f>
        <v>00473052</v>
      </c>
    </row>
    <row r="5745" spans="1:2" x14ac:dyDescent="0.25">
      <c r="A5745" s="4">
        <v>5740</v>
      </c>
      <c r="B5745" s="3" t="str">
        <f>"00473059"</f>
        <v>00473059</v>
      </c>
    </row>
    <row r="5746" spans="1:2" x14ac:dyDescent="0.25">
      <c r="A5746" s="4">
        <v>5741</v>
      </c>
      <c r="B5746" s="3" t="str">
        <f>"00473077"</f>
        <v>00473077</v>
      </c>
    </row>
    <row r="5747" spans="1:2" x14ac:dyDescent="0.25">
      <c r="A5747" s="4">
        <v>5742</v>
      </c>
      <c r="B5747" s="3" t="str">
        <f>"00473092"</f>
        <v>00473092</v>
      </c>
    </row>
    <row r="5748" spans="1:2" x14ac:dyDescent="0.25">
      <c r="A5748" s="4">
        <v>5743</v>
      </c>
      <c r="B5748" s="3" t="str">
        <f>"00473097"</f>
        <v>00473097</v>
      </c>
    </row>
    <row r="5749" spans="1:2" x14ac:dyDescent="0.25">
      <c r="A5749" s="4">
        <v>5744</v>
      </c>
      <c r="B5749" s="3" t="str">
        <f>"00473107"</f>
        <v>00473107</v>
      </c>
    </row>
    <row r="5750" spans="1:2" x14ac:dyDescent="0.25">
      <c r="A5750" s="4">
        <v>5745</v>
      </c>
      <c r="B5750" s="3" t="str">
        <f>"00473112"</f>
        <v>00473112</v>
      </c>
    </row>
    <row r="5751" spans="1:2" x14ac:dyDescent="0.25">
      <c r="A5751" s="4">
        <v>5746</v>
      </c>
      <c r="B5751" s="3" t="str">
        <f>"00473145"</f>
        <v>00473145</v>
      </c>
    </row>
    <row r="5752" spans="1:2" x14ac:dyDescent="0.25">
      <c r="A5752" s="4">
        <v>5747</v>
      </c>
      <c r="B5752" s="3" t="str">
        <f>"00473178"</f>
        <v>00473178</v>
      </c>
    </row>
    <row r="5753" spans="1:2" x14ac:dyDescent="0.25">
      <c r="A5753" s="4">
        <v>5748</v>
      </c>
      <c r="B5753" s="3" t="str">
        <f>"00473179"</f>
        <v>00473179</v>
      </c>
    </row>
    <row r="5754" spans="1:2" x14ac:dyDescent="0.25">
      <c r="A5754" s="4">
        <v>5749</v>
      </c>
      <c r="B5754" s="3" t="str">
        <f>"00473186"</f>
        <v>00473186</v>
      </c>
    </row>
    <row r="5755" spans="1:2" x14ac:dyDescent="0.25">
      <c r="A5755" s="4">
        <v>5750</v>
      </c>
      <c r="B5755" s="3" t="str">
        <f>"00473194"</f>
        <v>00473194</v>
      </c>
    </row>
    <row r="5756" spans="1:2" x14ac:dyDescent="0.25">
      <c r="A5756" s="4">
        <v>5751</v>
      </c>
      <c r="B5756" s="3" t="str">
        <f>"00473209"</f>
        <v>00473209</v>
      </c>
    </row>
    <row r="5757" spans="1:2" x14ac:dyDescent="0.25">
      <c r="A5757" s="4">
        <v>5752</v>
      </c>
      <c r="B5757" s="3" t="str">
        <f>"00473218"</f>
        <v>00473218</v>
      </c>
    </row>
    <row r="5758" spans="1:2" x14ac:dyDescent="0.25">
      <c r="A5758" s="4">
        <v>5753</v>
      </c>
      <c r="B5758" s="3" t="str">
        <f>"00473226"</f>
        <v>00473226</v>
      </c>
    </row>
    <row r="5759" spans="1:2" x14ac:dyDescent="0.25">
      <c r="A5759" s="4">
        <v>5754</v>
      </c>
      <c r="B5759" s="3" t="str">
        <f>"00473227"</f>
        <v>00473227</v>
      </c>
    </row>
    <row r="5760" spans="1:2" x14ac:dyDescent="0.25">
      <c r="A5760" s="4">
        <v>5755</v>
      </c>
      <c r="B5760" s="3" t="str">
        <f>"00473234"</f>
        <v>00473234</v>
      </c>
    </row>
    <row r="5761" spans="1:2" x14ac:dyDescent="0.25">
      <c r="A5761" s="4">
        <v>5756</v>
      </c>
      <c r="B5761" s="3" t="str">
        <f>"00473238"</f>
        <v>00473238</v>
      </c>
    </row>
    <row r="5762" spans="1:2" x14ac:dyDescent="0.25">
      <c r="A5762" s="4">
        <v>5757</v>
      </c>
      <c r="B5762" s="3" t="str">
        <f>"00473242"</f>
        <v>00473242</v>
      </c>
    </row>
    <row r="5763" spans="1:2" x14ac:dyDescent="0.25">
      <c r="A5763" s="4">
        <v>5758</v>
      </c>
      <c r="B5763" s="3" t="str">
        <f>"00473254"</f>
        <v>00473254</v>
      </c>
    </row>
    <row r="5764" spans="1:2" x14ac:dyDescent="0.25">
      <c r="A5764" s="4">
        <v>5759</v>
      </c>
      <c r="B5764" s="3" t="str">
        <f>"00473258"</f>
        <v>00473258</v>
      </c>
    </row>
    <row r="5765" spans="1:2" x14ac:dyDescent="0.25">
      <c r="A5765" s="4">
        <v>5760</v>
      </c>
      <c r="B5765" s="3" t="str">
        <f>"00473274"</f>
        <v>00473274</v>
      </c>
    </row>
    <row r="5766" spans="1:2" x14ac:dyDescent="0.25">
      <c r="A5766" s="4">
        <v>5761</v>
      </c>
      <c r="B5766" s="3" t="str">
        <f>"00473281"</f>
        <v>00473281</v>
      </c>
    </row>
    <row r="5767" spans="1:2" x14ac:dyDescent="0.25">
      <c r="A5767" s="4">
        <v>5762</v>
      </c>
      <c r="B5767" s="3" t="str">
        <f>"00473283"</f>
        <v>00473283</v>
      </c>
    </row>
    <row r="5768" spans="1:2" x14ac:dyDescent="0.25">
      <c r="A5768" s="4">
        <v>5763</v>
      </c>
      <c r="B5768" s="3" t="str">
        <f>"00473286"</f>
        <v>00473286</v>
      </c>
    </row>
    <row r="5769" spans="1:2" x14ac:dyDescent="0.25">
      <c r="A5769" s="4">
        <v>5764</v>
      </c>
      <c r="B5769" s="3" t="str">
        <f>"00473353"</f>
        <v>00473353</v>
      </c>
    </row>
    <row r="5770" spans="1:2" x14ac:dyDescent="0.25">
      <c r="A5770" s="4">
        <v>5765</v>
      </c>
      <c r="B5770" s="3" t="str">
        <f>"00473355"</f>
        <v>00473355</v>
      </c>
    </row>
    <row r="5771" spans="1:2" x14ac:dyDescent="0.25">
      <c r="A5771" s="4">
        <v>5766</v>
      </c>
      <c r="B5771" s="3" t="str">
        <f>"00473358"</f>
        <v>00473358</v>
      </c>
    </row>
    <row r="5772" spans="1:2" x14ac:dyDescent="0.25">
      <c r="A5772" s="4">
        <v>5767</v>
      </c>
      <c r="B5772" s="3" t="str">
        <f>"00473369"</f>
        <v>00473369</v>
      </c>
    </row>
    <row r="5773" spans="1:2" x14ac:dyDescent="0.25">
      <c r="A5773" s="4">
        <v>5768</v>
      </c>
      <c r="B5773" s="3" t="str">
        <f>"00473372"</f>
        <v>00473372</v>
      </c>
    </row>
    <row r="5774" spans="1:2" x14ac:dyDescent="0.25">
      <c r="A5774" s="4">
        <v>5769</v>
      </c>
      <c r="B5774" s="3" t="str">
        <f>"00473383"</f>
        <v>00473383</v>
      </c>
    </row>
    <row r="5775" spans="1:2" x14ac:dyDescent="0.25">
      <c r="A5775" s="4">
        <v>5770</v>
      </c>
      <c r="B5775" s="3" t="str">
        <f>"00473386"</f>
        <v>00473386</v>
      </c>
    </row>
    <row r="5776" spans="1:2" x14ac:dyDescent="0.25">
      <c r="A5776" s="4">
        <v>5771</v>
      </c>
      <c r="B5776" s="3" t="str">
        <f>"00473387"</f>
        <v>00473387</v>
      </c>
    </row>
    <row r="5777" spans="1:2" x14ac:dyDescent="0.25">
      <c r="A5777" s="4">
        <v>5772</v>
      </c>
      <c r="B5777" s="3" t="str">
        <f>"00473390"</f>
        <v>00473390</v>
      </c>
    </row>
    <row r="5778" spans="1:2" x14ac:dyDescent="0.25">
      <c r="A5778" s="4">
        <v>5773</v>
      </c>
      <c r="B5778" s="3" t="str">
        <f>"00473415"</f>
        <v>00473415</v>
      </c>
    </row>
    <row r="5779" spans="1:2" x14ac:dyDescent="0.25">
      <c r="A5779" s="4">
        <v>5774</v>
      </c>
      <c r="B5779" s="3" t="str">
        <f>"00473430"</f>
        <v>00473430</v>
      </c>
    </row>
    <row r="5780" spans="1:2" x14ac:dyDescent="0.25">
      <c r="A5780" s="4">
        <v>5775</v>
      </c>
      <c r="B5780" s="3" t="str">
        <f>"00473449"</f>
        <v>00473449</v>
      </c>
    </row>
    <row r="5781" spans="1:2" x14ac:dyDescent="0.25">
      <c r="A5781" s="4">
        <v>5776</v>
      </c>
      <c r="B5781" s="3" t="str">
        <f>"00473460"</f>
        <v>00473460</v>
      </c>
    </row>
    <row r="5782" spans="1:2" x14ac:dyDescent="0.25">
      <c r="A5782" s="4">
        <v>5777</v>
      </c>
      <c r="B5782" s="3" t="str">
        <f>"00473462"</f>
        <v>00473462</v>
      </c>
    </row>
    <row r="5783" spans="1:2" x14ac:dyDescent="0.25">
      <c r="A5783" s="4">
        <v>5778</v>
      </c>
      <c r="B5783" s="3" t="str">
        <f>"00473470"</f>
        <v>00473470</v>
      </c>
    </row>
    <row r="5784" spans="1:2" x14ac:dyDescent="0.25">
      <c r="A5784" s="4">
        <v>5779</v>
      </c>
      <c r="B5784" s="3" t="str">
        <f>"00473471"</f>
        <v>00473471</v>
      </c>
    </row>
    <row r="5785" spans="1:2" x14ac:dyDescent="0.25">
      <c r="A5785" s="4">
        <v>5780</v>
      </c>
      <c r="B5785" s="3" t="str">
        <f>"00473485"</f>
        <v>00473485</v>
      </c>
    </row>
    <row r="5786" spans="1:2" x14ac:dyDescent="0.25">
      <c r="A5786" s="4">
        <v>5781</v>
      </c>
      <c r="B5786" s="3" t="str">
        <f>"00473492"</f>
        <v>00473492</v>
      </c>
    </row>
    <row r="5787" spans="1:2" x14ac:dyDescent="0.25">
      <c r="A5787" s="4">
        <v>5782</v>
      </c>
      <c r="B5787" s="3" t="str">
        <f>"00473504"</f>
        <v>00473504</v>
      </c>
    </row>
    <row r="5788" spans="1:2" x14ac:dyDescent="0.25">
      <c r="A5788" s="4">
        <v>5783</v>
      </c>
      <c r="B5788" s="3" t="str">
        <f>"00473513"</f>
        <v>00473513</v>
      </c>
    </row>
    <row r="5789" spans="1:2" x14ac:dyDescent="0.25">
      <c r="A5789" s="4">
        <v>5784</v>
      </c>
      <c r="B5789" s="3" t="str">
        <f>"00473537"</f>
        <v>00473537</v>
      </c>
    </row>
    <row r="5790" spans="1:2" x14ac:dyDescent="0.25">
      <c r="A5790" s="4">
        <v>5785</v>
      </c>
      <c r="B5790" s="3" t="str">
        <f>"00473539"</f>
        <v>00473539</v>
      </c>
    </row>
    <row r="5791" spans="1:2" x14ac:dyDescent="0.25">
      <c r="A5791" s="4">
        <v>5786</v>
      </c>
      <c r="B5791" s="3" t="str">
        <f>"00473556"</f>
        <v>00473556</v>
      </c>
    </row>
    <row r="5792" spans="1:2" x14ac:dyDescent="0.25">
      <c r="A5792" s="4">
        <v>5787</v>
      </c>
      <c r="B5792" s="3" t="str">
        <f>"00473560"</f>
        <v>00473560</v>
      </c>
    </row>
    <row r="5793" spans="1:2" x14ac:dyDescent="0.25">
      <c r="A5793" s="4">
        <v>5788</v>
      </c>
      <c r="B5793" s="3" t="str">
        <f>"00473631"</f>
        <v>00473631</v>
      </c>
    </row>
    <row r="5794" spans="1:2" x14ac:dyDescent="0.25">
      <c r="A5794" s="4">
        <v>5789</v>
      </c>
      <c r="B5794" s="3" t="str">
        <f>"00473736"</f>
        <v>00473736</v>
      </c>
    </row>
    <row r="5795" spans="1:2" x14ac:dyDescent="0.25">
      <c r="A5795" s="4">
        <v>5790</v>
      </c>
      <c r="B5795" s="3" t="str">
        <f>"00473756"</f>
        <v>00473756</v>
      </c>
    </row>
    <row r="5796" spans="1:2" x14ac:dyDescent="0.25">
      <c r="A5796" s="4">
        <v>5791</v>
      </c>
      <c r="B5796" s="3" t="str">
        <f>"00473789"</f>
        <v>00473789</v>
      </c>
    </row>
    <row r="5797" spans="1:2" x14ac:dyDescent="0.25">
      <c r="A5797" s="4">
        <v>5792</v>
      </c>
      <c r="B5797" s="3" t="str">
        <f>"00473811"</f>
        <v>00473811</v>
      </c>
    </row>
    <row r="5798" spans="1:2" x14ac:dyDescent="0.25">
      <c r="A5798" s="4">
        <v>5793</v>
      </c>
      <c r="B5798" s="3" t="str">
        <f>"00473816"</f>
        <v>00473816</v>
      </c>
    </row>
    <row r="5799" spans="1:2" x14ac:dyDescent="0.25">
      <c r="A5799" s="4">
        <v>5794</v>
      </c>
      <c r="B5799" s="3" t="str">
        <f>"00473848"</f>
        <v>00473848</v>
      </c>
    </row>
    <row r="5800" spans="1:2" x14ac:dyDescent="0.25">
      <c r="A5800" s="4">
        <v>5795</v>
      </c>
      <c r="B5800" s="3" t="str">
        <f>"00473851"</f>
        <v>00473851</v>
      </c>
    </row>
    <row r="5801" spans="1:2" x14ac:dyDescent="0.25">
      <c r="A5801" s="4">
        <v>5796</v>
      </c>
      <c r="B5801" s="3" t="str">
        <f>"00473855"</f>
        <v>00473855</v>
      </c>
    </row>
    <row r="5802" spans="1:2" x14ac:dyDescent="0.25">
      <c r="A5802" s="4">
        <v>5797</v>
      </c>
      <c r="B5802" s="3" t="str">
        <f>"00473860"</f>
        <v>00473860</v>
      </c>
    </row>
    <row r="5803" spans="1:2" x14ac:dyDescent="0.25">
      <c r="A5803" s="4">
        <v>5798</v>
      </c>
      <c r="B5803" s="3" t="str">
        <f>"00473862"</f>
        <v>00473862</v>
      </c>
    </row>
    <row r="5804" spans="1:2" x14ac:dyDescent="0.25">
      <c r="A5804" s="4">
        <v>5799</v>
      </c>
      <c r="B5804" s="3" t="str">
        <f>"00473871"</f>
        <v>00473871</v>
      </c>
    </row>
    <row r="5805" spans="1:2" x14ac:dyDescent="0.25">
      <c r="A5805" s="4">
        <v>5800</v>
      </c>
      <c r="B5805" s="3" t="str">
        <f>"00473873"</f>
        <v>00473873</v>
      </c>
    </row>
    <row r="5806" spans="1:2" x14ac:dyDescent="0.25">
      <c r="A5806" s="4">
        <v>5801</v>
      </c>
      <c r="B5806" s="3" t="str">
        <f>"00473874"</f>
        <v>00473874</v>
      </c>
    </row>
    <row r="5807" spans="1:2" x14ac:dyDescent="0.25">
      <c r="A5807" s="4">
        <v>5802</v>
      </c>
      <c r="B5807" s="3" t="str">
        <f>"00473875"</f>
        <v>00473875</v>
      </c>
    </row>
    <row r="5808" spans="1:2" x14ac:dyDescent="0.25">
      <c r="A5808" s="4">
        <v>5803</v>
      </c>
      <c r="B5808" s="3" t="str">
        <f>"00473879"</f>
        <v>00473879</v>
      </c>
    </row>
    <row r="5809" spans="1:2" x14ac:dyDescent="0.25">
      <c r="A5809" s="4">
        <v>5804</v>
      </c>
      <c r="B5809" s="3" t="str">
        <f>"00473881"</f>
        <v>00473881</v>
      </c>
    </row>
    <row r="5810" spans="1:2" x14ac:dyDescent="0.25">
      <c r="A5810" s="4">
        <v>5805</v>
      </c>
      <c r="B5810" s="3" t="str">
        <f>"00473915"</f>
        <v>00473915</v>
      </c>
    </row>
    <row r="5811" spans="1:2" x14ac:dyDescent="0.25">
      <c r="A5811" s="4">
        <v>5806</v>
      </c>
      <c r="B5811" s="3" t="str">
        <f>"00473925"</f>
        <v>00473925</v>
      </c>
    </row>
    <row r="5812" spans="1:2" x14ac:dyDescent="0.25">
      <c r="A5812" s="4">
        <v>5807</v>
      </c>
      <c r="B5812" s="3" t="str">
        <f>"00473962"</f>
        <v>00473962</v>
      </c>
    </row>
    <row r="5813" spans="1:2" x14ac:dyDescent="0.25">
      <c r="A5813" s="4">
        <v>5808</v>
      </c>
      <c r="B5813" s="3" t="str">
        <f>"00473966"</f>
        <v>00473966</v>
      </c>
    </row>
    <row r="5814" spans="1:2" x14ac:dyDescent="0.25">
      <c r="A5814" s="4">
        <v>5809</v>
      </c>
      <c r="B5814" s="3" t="str">
        <f>"00473973"</f>
        <v>00473973</v>
      </c>
    </row>
    <row r="5815" spans="1:2" x14ac:dyDescent="0.25">
      <c r="A5815" s="4">
        <v>5810</v>
      </c>
      <c r="B5815" s="3" t="str">
        <f>"00473979"</f>
        <v>00473979</v>
      </c>
    </row>
    <row r="5816" spans="1:2" x14ac:dyDescent="0.25">
      <c r="A5816" s="4">
        <v>5811</v>
      </c>
      <c r="B5816" s="3" t="str">
        <f>"00473992"</f>
        <v>00473992</v>
      </c>
    </row>
    <row r="5817" spans="1:2" x14ac:dyDescent="0.25">
      <c r="A5817" s="4">
        <v>5812</v>
      </c>
      <c r="B5817" s="3" t="str">
        <f>"00474019"</f>
        <v>00474019</v>
      </c>
    </row>
    <row r="5818" spans="1:2" x14ac:dyDescent="0.25">
      <c r="A5818" s="4">
        <v>5813</v>
      </c>
      <c r="B5818" s="3" t="str">
        <f>"00474020"</f>
        <v>00474020</v>
      </c>
    </row>
    <row r="5819" spans="1:2" x14ac:dyDescent="0.25">
      <c r="A5819" s="4">
        <v>5814</v>
      </c>
      <c r="B5819" s="3" t="str">
        <f>"00474025"</f>
        <v>00474025</v>
      </c>
    </row>
    <row r="5820" spans="1:2" x14ac:dyDescent="0.25">
      <c r="A5820" s="4">
        <v>5815</v>
      </c>
      <c r="B5820" s="3" t="str">
        <f>"00474026"</f>
        <v>00474026</v>
      </c>
    </row>
    <row r="5821" spans="1:2" x14ac:dyDescent="0.25">
      <c r="A5821" s="4">
        <v>5816</v>
      </c>
      <c r="B5821" s="3" t="str">
        <f>"00474035"</f>
        <v>00474035</v>
      </c>
    </row>
    <row r="5822" spans="1:2" x14ac:dyDescent="0.25">
      <c r="A5822" s="4">
        <v>5817</v>
      </c>
      <c r="B5822" s="3" t="str">
        <f>"00474049"</f>
        <v>00474049</v>
      </c>
    </row>
    <row r="5823" spans="1:2" x14ac:dyDescent="0.25">
      <c r="A5823" s="4">
        <v>5818</v>
      </c>
      <c r="B5823" s="3" t="str">
        <f>"00474066"</f>
        <v>00474066</v>
      </c>
    </row>
    <row r="5824" spans="1:2" x14ac:dyDescent="0.25">
      <c r="A5824" s="4">
        <v>5819</v>
      </c>
      <c r="B5824" s="3" t="str">
        <f>"00474074"</f>
        <v>00474074</v>
      </c>
    </row>
    <row r="5825" spans="1:2" x14ac:dyDescent="0.25">
      <c r="A5825" s="4">
        <v>5820</v>
      </c>
      <c r="B5825" s="3" t="str">
        <f>"00474077"</f>
        <v>00474077</v>
      </c>
    </row>
    <row r="5826" spans="1:2" x14ac:dyDescent="0.25">
      <c r="A5826" s="4">
        <v>5821</v>
      </c>
      <c r="B5826" s="3" t="str">
        <f>"00474078"</f>
        <v>00474078</v>
      </c>
    </row>
    <row r="5827" spans="1:2" x14ac:dyDescent="0.25">
      <c r="A5827" s="4">
        <v>5822</v>
      </c>
      <c r="B5827" s="3" t="str">
        <f>"00474099"</f>
        <v>00474099</v>
      </c>
    </row>
    <row r="5828" spans="1:2" x14ac:dyDescent="0.25">
      <c r="A5828" s="4">
        <v>5823</v>
      </c>
      <c r="B5828" s="3" t="str">
        <f>"00474113"</f>
        <v>00474113</v>
      </c>
    </row>
    <row r="5829" spans="1:2" x14ac:dyDescent="0.25">
      <c r="A5829" s="4">
        <v>5824</v>
      </c>
      <c r="B5829" s="3" t="str">
        <f>"00474147"</f>
        <v>00474147</v>
      </c>
    </row>
    <row r="5830" spans="1:2" x14ac:dyDescent="0.25">
      <c r="A5830" s="4">
        <v>5825</v>
      </c>
      <c r="B5830" s="3" t="str">
        <f>"00474154"</f>
        <v>00474154</v>
      </c>
    </row>
    <row r="5831" spans="1:2" x14ac:dyDescent="0.25">
      <c r="A5831" s="4">
        <v>5826</v>
      </c>
      <c r="B5831" s="3" t="str">
        <f>"00474164"</f>
        <v>00474164</v>
      </c>
    </row>
    <row r="5832" spans="1:2" x14ac:dyDescent="0.25">
      <c r="A5832" s="4">
        <v>5827</v>
      </c>
      <c r="B5832" s="3" t="str">
        <f>"00474176"</f>
        <v>00474176</v>
      </c>
    </row>
    <row r="5833" spans="1:2" x14ac:dyDescent="0.25">
      <c r="A5833" s="4">
        <v>5828</v>
      </c>
      <c r="B5833" s="3" t="str">
        <f>"00474223"</f>
        <v>00474223</v>
      </c>
    </row>
    <row r="5834" spans="1:2" x14ac:dyDescent="0.25">
      <c r="A5834" s="4">
        <v>5829</v>
      </c>
      <c r="B5834" s="3" t="str">
        <f>"00474228"</f>
        <v>00474228</v>
      </c>
    </row>
    <row r="5835" spans="1:2" x14ac:dyDescent="0.25">
      <c r="A5835" s="4">
        <v>5830</v>
      </c>
      <c r="B5835" s="3" t="str">
        <f>"00474231"</f>
        <v>00474231</v>
      </c>
    </row>
    <row r="5836" spans="1:2" x14ac:dyDescent="0.25">
      <c r="A5836" s="4">
        <v>5831</v>
      </c>
      <c r="B5836" s="3" t="str">
        <f>"00474257"</f>
        <v>00474257</v>
      </c>
    </row>
    <row r="5837" spans="1:2" x14ac:dyDescent="0.25">
      <c r="A5837" s="4">
        <v>5832</v>
      </c>
      <c r="B5837" s="3" t="str">
        <f>"00474282"</f>
        <v>00474282</v>
      </c>
    </row>
    <row r="5838" spans="1:2" x14ac:dyDescent="0.25">
      <c r="A5838" s="4">
        <v>5833</v>
      </c>
      <c r="B5838" s="3" t="str">
        <f>"00474288"</f>
        <v>00474288</v>
      </c>
    </row>
    <row r="5839" spans="1:2" x14ac:dyDescent="0.25">
      <c r="A5839" s="4">
        <v>5834</v>
      </c>
      <c r="B5839" s="3" t="str">
        <f>"00474289"</f>
        <v>00474289</v>
      </c>
    </row>
    <row r="5840" spans="1:2" x14ac:dyDescent="0.25">
      <c r="A5840" s="4">
        <v>5835</v>
      </c>
      <c r="B5840" s="3" t="str">
        <f>"00474309"</f>
        <v>00474309</v>
      </c>
    </row>
    <row r="5841" spans="1:2" x14ac:dyDescent="0.25">
      <c r="A5841" s="4">
        <v>5836</v>
      </c>
      <c r="B5841" s="3" t="str">
        <f>"00474310"</f>
        <v>00474310</v>
      </c>
    </row>
    <row r="5842" spans="1:2" x14ac:dyDescent="0.25">
      <c r="A5842" s="4">
        <v>5837</v>
      </c>
      <c r="B5842" s="3" t="str">
        <f>"00474346"</f>
        <v>00474346</v>
      </c>
    </row>
    <row r="5843" spans="1:2" x14ac:dyDescent="0.25">
      <c r="A5843" s="4">
        <v>5838</v>
      </c>
      <c r="B5843" s="3" t="str">
        <f>"00474413"</f>
        <v>00474413</v>
      </c>
    </row>
    <row r="5844" spans="1:2" x14ac:dyDescent="0.25">
      <c r="A5844" s="4">
        <v>5839</v>
      </c>
      <c r="B5844" s="3" t="str">
        <f>"00474454"</f>
        <v>00474454</v>
      </c>
    </row>
    <row r="5845" spans="1:2" x14ac:dyDescent="0.25">
      <c r="A5845" s="4">
        <v>5840</v>
      </c>
      <c r="B5845" s="3" t="str">
        <f>"00474493"</f>
        <v>00474493</v>
      </c>
    </row>
    <row r="5846" spans="1:2" x14ac:dyDescent="0.25">
      <c r="A5846" s="4">
        <v>5841</v>
      </c>
      <c r="B5846" s="3" t="str">
        <f>"00474495"</f>
        <v>00474495</v>
      </c>
    </row>
    <row r="5847" spans="1:2" x14ac:dyDescent="0.25">
      <c r="A5847" s="4">
        <v>5842</v>
      </c>
      <c r="B5847" s="3" t="str">
        <f>"00474506"</f>
        <v>00474506</v>
      </c>
    </row>
    <row r="5848" spans="1:2" x14ac:dyDescent="0.25">
      <c r="A5848" s="4">
        <v>5843</v>
      </c>
      <c r="B5848" s="3" t="str">
        <f>"00474580"</f>
        <v>00474580</v>
      </c>
    </row>
    <row r="5849" spans="1:2" x14ac:dyDescent="0.25">
      <c r="A5849" s="4">
        <v>5844</v>
      </c>
      <c r="B5849" s="3" t="str">
        <f>"00474585"</f>
        <v>00474585</v>
      </c>
    </row>
    <row r="5850" spans="1:2" x14ac:dyDescent="0.25">
      <c r="A5850" s="4">
        <v>5845</v>
      </c>
      <c r="B5850" s="3" t="str">
        <f>"00474592"</f>
        <v>00474592</v>
      </c>
    </row>
    <row r="5851" spans="1:2" x14ac:dyDescent="0.25">
      <c r="A5851" s="4">
        <v>5846</v>
      </c>
      <c r="B5851" s="3" t="str">
        <f>"00474595"</f>
        <v>00474595</v>
      </c>
    </row>
    <row r="5852" spans="1:2" x14ac:dyDescent="0.25">
      <c r="A5852" s="4">
        <v>5847</v>
      </c>
      <c r="B5852" s="3" t="str">
        <f>"00474702"</f>
        <v>00474702</v>
      </c>
    </row>
    <row r="5853" spans="1:2" x14ac:dyDescent="0.25">
      <c r="A5853" s="4">
        <v>5848</v>
      </c>
      <c r="B5853" s="3" t="str">
        <f>"00474704"</f>
        <v>00474704</v>
      </c>
    </row>
    <row r="5854" spans="1:2" x14ac:dyDescent="0.25">
      <c r="A5854" s="4">
        <v>5849</v>
      </c>
      <c r="B5854" s="3" t="str">
        <f>"00474707"</f>
        <v>00474707</v>
      </c>
    </row>
    <row r="5855" spans="1:2" x14ac:dyDescent="0.25">
      <c r="A5855" s="4">
        <v>5850</v>
      </c>
      <c r="B5855" s="3" t="str">
        <f>"00474722"</f>
        <v>00474722</v>
      </c>
    </row>
    <row r="5856" spans="1:2" x14ac:dyDescent="0.25">
      <c r="A5856" s="4">
        <v>5851</v>
      </c>
      <c r="B5856" s="3" t="str">
        <f>"00474744"</f>
        <v>00474744</v>
      </c>
    </row>
    <row r="5857" spans="1:2" x14ac:dyDescent="0.25">
      <c r="A5857" s="4">
        <v>5852</v>
      </c>
      <c r="B5857" s="3" t="str">
        <f>"00474756"</f>
        <v>00474756</v>
      </c>
    </row>
    <row r="5858" spans="1:2" x14ac:dyDescent="0.25">
      <c r="A5858" s="4">
        <v>5853</v>
      </c>
      <c r="B5858" s="3" t="str">
        <f>"00474774"</f>
        <v>00474774</v>
      </c>
    </row>
    <row r="5859" spans="1:2" x14ac:dyDescent="0.25">
      <c r="A5859" s="4">
        <v>5854</v>
      </c>
      <c r="B5859" s="3" t="str">
        <f>"00474775"</f>
        <v>00474775</v>
      </c>
    </row>
    <row r="5860" spans="1:2" x14ac:dyDescent="0.25">
      <c r="A5860" s="4">
        <v>5855</v>
      </c>
      <c r="B5860" s="3" t="str">
        <f>"00474778"</f>
        <v>00474778</v>
      </c>
    </row>
    <row r="5861" spans="1:2" x14ac:dyDescent="0.25">
      <c r="A5861" s="4">
        <v>5856</v>
      </c>
      <c r="B5861" s="3" t="str">
        <f>"00474786"</f>
        <v>00474786</v>
      </c>
    </row>
    <row r="5862" spans="1:2" x14ac:dyDescent="0.25">
      <c r="A5862" s="4">
        <v>5857</v>
      </c>
      <c r="B5862" s="3" t="str">
        <f>"00474874"</f>
        <v>00474874</v>
      </c>
    </row>
    <row r="5863" spans="1:2" x14ac:dyDescent="0.25">
      <c r="A5863" s="4">
        <v>5858</v>
      </c>
      <c r="B5863" s="3" t="str">
        <f>"00474884"</f>
        <v>00474884</v>
      </c>
    </row>
    <row r="5864" spans="1:2" x14ac:dyDescent="0.25">
      <c r="A5864" s="4">
        <v>5859</v>
      </c>
      <c r="B5864" s="3" t="str">
        <f>"00474987"</f>
        <v>00474987</v>
      </c>
    </row>
    <row r="5865" spans="1:2" x14ac:dyDescent="0.25">
      <c r="A5865" s="4">
        <v>5860</v>
      </c>
      <c r="B5865" s="3" t="str">
        <f>"00474988"</f>
        <v>00474988</v>
      </c>
    </row>
    <row r="5866" spans="1:2" x14ac:dyDescent="0.25">
      <c r="A5866" s="4">
        <v>5861</v>
      </c>
      <c r="B5866" s="3" t="str">
        <f>"00475008"</f>
        <v>00475008</v>
      </c>
    </row>
    <row r="5867" spans="1:2" x14ac:dyDescent="0.25">
      <c r="A5867" s="4">
        <v>5862</v>
      </c>
      <c r="B5867" s="3" t="str">
        <f>"00475011"</f>
        <v>00475011</v>
      </c>
    </row>
    <row r="5868" spans="1:2" x14ac:dyDescent="0.25">
      <c r="A5868" s="4">
        <v>5863</v>
      </c>
      <c r="B5868" s="3" t="str">
        <f>"00475039"</f>
        <v>00475039</v>
      </c>
    </row>
    <row r="5869" spans="1:2" x14ac:dyDescent="0.25">
      <c r="A5869" s="4">
        <v>5864</v>
      </c>
      <c r="B5869" s="3" t="str">
        <f>"00475158"</f>
        <v>00475158</v>
      </c>
    </row>
    <row r="5870" spans="1:2" x14ac:dyDescent="0.25">
      <c r="A5870" s="4">
        <v>5865</v>
      </c>
      <c r="B5870" s="3" t="str">
        <f>"00475163"</f>
        <v>00475163</v>
      </c>
    </row>
    <row r="5871" spans="1:2" x14ac:dyDescent="0.25">
      <c r="A5871" s="4">
        <v>5866</v>
      </c>
      <c r="B5871" s="3" t="str">
        <f>"00475193"</f>
        <v>00475193</v>
      </c>
    </row>
    <row r="5872" spans="1:2" x14ac:dyDescent="0.25">
      <c r="A5872" s="4">
        <v>5867</v>
      </c>
      <c r="B5872" s="3" t="str">
        <f>"00475231"</f>
        <v>00475231</v>
      </c>
    </row>
    <row r="5873" spans="1:2" x14ac:dyDescent="0.25">
      <c r="A5873" s="4">
        <v>5868</v>
      </c>
      <c r="B5873" s="3" t="str">
        <f>"00475306"</f>
        <v>00475306</v>
      </c>
    </row>
    <row r="5874" spans="1:2" x14ac:dyDescent="0.25">
      <c r="A5874" s="4">
        <v>5869</v>
      </c>
      <c r="B5874" s="3" t="str">
        <f>"00475335"</f>
        <v>00475335</v>
      </c>
    </row>
    <row r="5875" spans="1:2" x14ac:dyDescent="0.25">
      <c r="A5875" s="4">
        <v>5870</v>
      </c>
      <c r="B5875" s="3" t="str">
        <f>"00475347"</f>
        <v>00475347</v>
      </c>
    </row>
    <row r="5876" spans="1:2" x14ac:dyDescent="0.25">
      <c r="A5876" s="4">
        <v>5871</v>
      </c>
      <c r="B5876" s="3" t="str">
        <f>"00475363"</f>
        <v>00475363</v>
      </c>
    </row>
    <row r="5877" spans="1:2" x14ac:dyDescent="0.25">
      <c r="A5877" s="4">
        <v>5872</v>
      </c>
      <c r="B5877" s="3" t="str">
        <f>"00475370"</f>
        <v>00475370</v>
      </c>
    </row>
    <row r="5878" spans="1:2" x14ac:dyDescent="0.25">
      <c r="A5878" s="4">
        <v>5873</v>
      </c>
      <c r="B5878" s="3" t="str">
        <f>"00475466"</f>
        <v>00475466</v>
      </c>
    </row>
    <row r="5879" spans="1:2" x14ac:dyDescent="0.25">
      <c r="A5879" s="4">
        <v>5874</v>
      </c>
      <c r="B5879" s="3" t="str">
        <f>"00475471"</f>
        <v>00475471</v>
      </c>
    </row>
    <row r="5880" spans="1:2" x14ac:dyDescent="0.25">
      <c r="A5880" s="4">
        <v>5875</v>
      </c>
      <c r="B5880" s="3" t="str">
        <f>"00475473"</f>
        <v>00475473</v>
      </c>
    </row>
    <row r="5881" spans="1:2" x14ac:dyDescent="0.25">
      <c r="A5881" s="4">
        <v>5876</v>
      </c>
      <c r="B5881" s="3" t="str">
        <f>"00475477"</f>
        <v>00475477</v>
      </c>
    </row>
    <row r="5882" spans="1:2" x14ac:dyDescent="0.25">
      <c r="A5882" s="4">
        <v>5877</v>
      </c>
      <c r="B5882" s="3" t="str">
        <f>"00475494"</f>
        <v>00475494</v>
      </c>
    </row>
    <row r="5883" spans="1:2" x14ac:dyDescent="0.25">
      <c r="A5883" s="4">
        <v>5878</v>
      </c>
      <c r="B5883" s="3" t="str">
        <f>"00475496"</f>
        <v>00475496</v>
      </c>
    </row>
    <row r="5884" spans="1:2" x14ac:dyDescent="0.25">
      <c r="A5884" s="4">
        <v>5879</v>
      </c>
      <c r="B5884" s="3" t="str">
        <f>"00475501"</f>
        <v>00475501</v>
      </c>
    </row>
    <row r="5885" spans="1:2" x14ac:dyDescent="0.25">
      <c r="A5885" s="4">
        <v>5880</v>
      </c>
      <c r="B5885" s="3" t="str">
        <f>"00475533"</f>
        <v>00475533</v>
      </c>
    </row>
    <row r="5886" spans="1:2" x14ac:dyDescent="0.25">
      <c r="A5886" s="4">
        <v>5881</v>
      </c>
      <c r="B5886" s="3" t="str">
        <f>"00475534"</f>
        <v>00475534</v>
      </c>
    </row>
    <row r="5887" spans="1:2" x14ac:dyDescent="0.25">
      <c r="A5887" s="4">
        <v>5882</v>
      </c>
      <c r="B5887" s="3" t="str">
        <f>"00475544"</f>
        <v>00475544</v>
      </c>
    </row>
    <row r="5888" spans="1:2" x14ac:dyDescent="0.25">
      <c r="A5888" s="4">
        <v>5883</v>
      </c>
      <c r="B5888" s="3" t="str">
        <f>"00475569"</f>
        <v>00475569</v>
      </c>
    </row>
    <row r="5889" spans="1:2" x14ac:dyDescent="0.25">
      <c r="A5889" s="4">
        <v>5884</v>
      </c>
      <c r="B5889" s="3" t="str">
        <f>"00475586"</f>
        <v>00475586</v>
      </c>
    </row>
    <row r="5890" spans="1:2" x14ac:dyDescent="0.25">
      <c r="A5890" s="4">
        <v>5885</v>
      </c>
      <c r="B5890" s="3" t="str">
        <f>"00475667"</f>
        <v>00475667</v>
      </c>
    </row>
    <row r="5891" spans="1:2" x14ac:dyDescent="0.25">
      <c r="A5891" s="4">
        <v>5886</v>
      </c>
      <c r="B5891" s="3" t="str">
        <f>"00475694"</f>
        <v>00475694</v>
      </c>
    </row>
    <row r="5892" spans="1:2" x14ac:dyDescent="0.25">
      <c r="A5892" s="4">
        <v>5887</v>
      </c>
      <c r="B5892" s="3" t="str">
        <f>"00475716"</f>
        <v>00475716</v>
      </c>
    </row>
    <row r="5893" spans="1:2" x14ac:dyDescent="0.25">
      <c r="A5893" s="4">
        <v>5888</v>
      </c>
      <c r="B5893" s="3" t="str">
        <f>"00475769"</f>
        <v>00475769</v>
      </c>
    </row>
    <row r="5894" spans="1:2" x14ac:dyDescent="0.25">
      <c r="A5894" s="4">
        <v>5889</v>
      </c>
      <c r="B5894" s="3" t="str">
        <f>"00475824"</f>
        <v>00475824</v>
      </c>
    </row>
    <row r="5895" spans="1:2" x14ac:dyDescent="0.25">
      <c r="A5895" s="4">
        <v>5890</v>
      </c>
      <c r="B5895" s="3" t="str">
        <f>"00475863"</f>
        <v>00475863</v>
      </c>
    </row>
    <row r="5896" spans="1:2" x14ac:dyDescent="0.25">
      <c r="A5896" s="4">
        <v>5891</v>
      </c>
      <c r="B5896" s="3" t="str">
        <f>"00475893"</f>
        <v>00475893</v>
      </c>
    </row>
    <row r="5897" spans="1:2" x14ac:dyDescent="0.25">
      <c r="A5897" s="4">
        <v>5892</v>
      </c>
      <c r="B5897" s="3" t="str">
        <f>"00475894"</f>
        <v>00475894</v>
      </c>
    </row>
    <row r="5898" spans="1:2" x14ac:dyDescent="0.25">
      <c r="A5898" s="4">
        <v>5893</v>
      </c>
      <c r="B5898" s="3" t="str">
        <f>"00475954"</f>
        <v>00475954</v>
      </c>
    </row>
    <row r="5899" spans="1:2" x14ac:dyDescent="0.25">
      <c r="A5899" s="4">
        <v>5894</v>
      </c>
      <c r="B5899" s="3" t="str">
        <f>"00476060"</f>
        <v>00476060</v>
      </c>
    </row>
    <row r="5900" spans="1:2" x14ac:dyDescent="0.25">
      <c r="A5900" s="4">
        <v>5895</v>
      </c>
      <c r="B5900" s="3" t="str">
        <f>"00476119"</f>
        <v>00476119</v>
      </c>
    </row>
    <row r="5901" spans="1:2" x14ac:dyDescent="0.25">
      <c r="A5901" s="4">
        <v>5896</v>
      </c>
      <c r="B5901" s="3" t="str">
        <f>"00476140"</f>
        <v>00476140</v>
      </c>
    </row>
    <row r="5902" spans="1:2" x14ac:dyDescent="0.25">
      <c r="A5902" s="4">
        <v>5897</v>
      </c>
      <c r="B5902" s="3" t="str">
        <f>"00476162"</f>
        <v>00476162</v>
      </c>
    </row>
    <row r="5903" spans="1:2" x14ac:dyDescent="0.25">
      <c r="A5903" s="4">
        <v>5898</v>
      </c>
      <c r="B5903" s="3" t="str">
        <f>"00476172"</f>
        <v>00476172</v>
      </c>
    </row>
    <row r="5904" spans="1:2" x14ac:dyDescent="0.25">
      <c r="A5904" s="4">
        <v>5899</v>
      </c>
      <c r="B5904" s="3" t="str">
        <f>"00476180"</f>
        <v>00476180</v>
      </c>
    </row>
    <row r="5905" spans="1:2" x14ac:dyDescent="0.25">
      <c r="A5905" s="4">
        <v>5900</v>
      </c>
      <c r="B5905" s="3" t="str">
        <f>"00476219"</f>
        <v>00476219</v>
      </c>
    </row>
    <row r="5906" spans="1:2" x14ac:dyDescent="0.25">
      <c r="A5906" s="4">
        <v>5901</v>
      </c>
      <c r="B5906" s="3" t="str">
        <f>"00476223"</f>
        <v>00476223</v>
      </c>
    </row>
    <row r="5907" spans="1:2" x14ac:dyDescent="0.25">
      <c r="A5907" s="4">
        <v>5902</v>
      </c>
      <c r="B5907" s="3" t="str">
        <f>"00476244"</f>
        <v>00476244</v>
      </c>
    </row>
    <row r="5908" spans="1:2" x14ac:dyDescent="0.25">
      <c r="A5908" s="4">
        <v>5903</v>
      </c>
      <c r="B5908" s="3" t="str">
        <f>"00476246"</f>
        <v>00476246</v>
      </c>
    </row>
    <row r="5909" spans="1:2" x14ac:dyDescent="0.25">
      <c r="A5909" s="4">
        <v>5904</v>
      </c>
      <c r="B5909" s="3" t="str">
        <f>"00476305"</f>
        <v>00476305</v>
      </c>
    </row>
    <row r="5910" spans="1:2" x14ac:dyDescent="0.25">
      <c r="A5910" s="4">
        <v>5905</v>
      </c>
      <c r="B5910" s="3" t="str">
        <f>"00476362"</f>
        <v>00476362</v>
      </c>
    </row>
    <row r="5911" spans="1:2" x14ac:dyDescent="0.25">
      <c r="A5911" s="4">
        <v>5906</v>
      </c>
      <c r="B5911" s="3" t="str">
        <f>"00476447"</f>
        <v>00476447</v>
      </c>
    </row>
    <row r="5912" spans="1:2" x14ac:dyDescent="0.25">
      <c r="A5912" s="4">
        <v>5907</v>
      </c>
      <c r="B5912" s="3" t="str">
        <f>"00476565"</f>
        <v>00476565</v>
      </c>
    </row>
    <row r="5913" spans="1:2" x14ac:dyDescent="0.25">
      <c r="A5913" s="4">
        <v>5908</v>
      </c>
      <c r="B5913" s="3" t="str">
        <f>"00476566"</f>
        <v>00476566</v>
      </c>
    </row>
    <row r="5914" spans="1:2" x14ac:dyDescent="0.25">
      <c r="A5914" s="4">
        <v>5909</v>
      </c>
      <c r="B5914" s="3" t="str">
        <f>"00476627"</f>
        <v>00476627</v>
      </c>
    </row>
    <row r="5915" spans="1:2" x14ac:dyDescent="0.25">
      <c r="A5915" s="4">
        <v>5910</v>
      </c>
      <c r="B5915" s="3" t="str">
        <f>"00476690"</f>
        <v>00476690</v>
      </c>
    </row>
    <row r="5916" spans="1:2" x14ac:dyDescent="0.25">
      <c r="A5916" s="4">
        <v>5911</v>
      </c>
      <c r="B5916" s="3" t="str">
        <f>"00476713"</f>
        <v>00476713</v>
      </c>
    </row>
    <row r="5917" spans="1:2" x14ac:dyDescent="0.25">
      <c r="A5917" s="4">
        <v>5912</v>
      </c>
      <c r="B5917" s="3" t="str">
        <f>"00476734"</f>
        <v>00476734</v>
      </c>
    </row>
    <row r="5918" spans="1:2" x14ac:dyDescent="0.25">
      <c r="A5918" s="4">
        <v>5913</v>
      </c>
      <c r="B5918" s="3" t="str">
        <f>"00476737"</f>
        <v>00476737</v>
      </c>
    </row>
    <row r="5919" spans="1:2" x14ac:dyDescent="0.25">
      <c r="A5919" s="4">
        <v>5914</v>
      </c>
      <c r="B5919" s="3" t="str">
        <f>"00476806"</f>
        <v>00476806</v>
      </c>
    </row>
    <row r="5920" spans="1:2" x14ac:dyDescent="0.25">
      <c r="A5920" s="4">
        <v>5915</v>
      </c>
      <c r="B5920" s="3" t="str">
        <f>"00476830"</f>
        <v>00476830</v>
      </c>
    </row>
    <row r="5921" spans="1:2" x14ac:dyDescent="0.25">
      <c r="A5921" s="4">
        <v>5916</v>
      </c>
      <c r="B5921" s="3" t="str">
        <f>"00476841"</f>
        <v>00476841</v>
      </c>
    </row>
    <row r="5922" spans="1:2" x14ac:dyDescent="0.25">
      <c r="A5922" s="4">
        <v>5917</v>
      </c>
      <c r="B5922" s="3" t="str">
        <f>"00476846"</f>
        <v>00476846</v>
      </c>
    </row>
    <row r="5923" spans="1:2" x14ac:dyDescent="0.25">
      <c r="A5923" s="4">
        <v>5918</v>
      </c>
      <c r="B5923" s="3" t="str">
        <f>"00476920"</f>
        <v>00476920</v>
      </c>
    </row>
    <row r="5924" spans="1:2" x14ac:dyDescent="0.25">
      <c r="A5924" s="4">
        <v>5919</v>
      </c>
      <c r="B5924" s="3" t="str">
        <f>"00476944"</f>
        <v>00476944</v>
      </c>
    </row>
    <row r="5925" spans="1:2" x14ac:dyDescent="0.25">
      <c r="A5925" s="4">
        <v>5920</v>
      </c>
      <c r="B5925" s="3" t="str">
        <f>"00476952"</f>
        <v>00476952</v>
      </c>
    </row>
    <row r="5926" spans="1:2" x14ac:dyDescent="0.25">
      <c r="A5926" s="4">
        <v>5921</v>
      </c>
      <c r="B5926" s="3" t="str">
        <f>"00476974"</f>
        <v>00476974</v>
      </c>
    </row>
    <row r="5927" spans="1:2" x14ac:dyDescent="0.25">
      <c r="A5927" s="4">
        <v>5922</v>
      </c>
      <c r="B5927" s="3" t="str">
        <f>"00476999"</f>
        <v>00476999</v>
      </c>
    </row>
    <row r="5928" spans="1:2" x14ac:dyDescent="0.25">
      <c r="A5928" s="4">
        <v>5923</v>
      </c>
      <c r="B5928" s="3" t="str">
        <f>"00477036"</f>
        <v>00477036</v>
      </c>
    </row>
    <row r="5929" spans="1:2" x14ac:dyDescent="0.25">
      <c r="A5929" s="4">
        <v>5924</v>
      </c>
      <c r="B5929" s="3" t="str">
        <f>"00477072"</f>
        <v>00477072</v>
      </c>
    </row>
    <row r="5930" spans="1:2" x14ac:dyDescent="0.25">
      <c r="A5930" s="4">
        <v>5925</v>
      </c>
      <c r="B5930" s="3" t="str">
        <f>"00477087"</f>
        <v>00477087</v>
      </c>
    </row>
    <row r="5931" spans="1:2" x14ac:dyDescent="0.25">
      <c r="A5931" s="4">
        <v>5926</v>
      </c>
      <c r="B5931" s="3" t="str">
        <f>"00477244"</f>
        <v>00477244</v>
      </c>
    </row>
    <row r="5932" spans="1:2" x14ac:dyDescent="0.25">
      <c r="A5932" s="4">
        <v>5927</v>
      </c>
      <c r="B5932" s="3" t="str">
        <f>"00477288"</f>
        <v>00477288</v>
      </c>
    </row>
    <row r="5933" spans="1:2" x14ac:dyDescent="0.25">
      <c r="A5933" s="4">
        <v>5928</v>
      </c>
      <c r="B5933" s="3" t="str">
        <f>"00477374"</f>
        <v>00477374</v>
      </c>
    </row>
    <row r="5934" spans="1:2" x14ac:dyDescent="0.25">
      <c r="A5934" s="4">
        <v>5929</v>
      </c>
      <c r="B5934" s="3" t="str">
        <f>"00477417"</f>
        <v>00477417</v>
      </c>
    </row>
    <row r="5935" spans="1:2" x14ac:dyDescent="0.25">
      <c r="A5935" s="4">
        <v>5930</v>
      </c>
      <c r="B5935" s="3" t="str">
        <f>"00477420"</f>
        <v>00477420</v>
      </c>
    </row>
    <row r="5936" spans="1:2" x14ac:dyDescent="0.25">
      <c r="A5936" s="4">
        <v>5931</v>
      </c>
      <c r="B5936" s="3" t="str">
        <f>"00477452"</f>
        <v>00477452</v>
      </c>
    </row>
    <row r="5937" spans="1:2" x14ac:dyDescent="0.25">
      <c r="A5937" s="4">
        <v>5932</v>
      </c>
      <c r="B5937" s="3" t="str">
        <f>"00477503"</f>
        <v>00477503</v>
      </c>
    </row>
    <row r="5938" spans="1:2" x14ac:dyDescent="0.25">
      <c r="A5938" s="4">
        <v>5933</v>
      </c>
      <c r="B5938" s="3" t="str">
        <f>"00477564"</f>
        <v>00477564</v>
      </c>
    </row>
    <row r="5939" spans="1:2" x14ac:dyDescent="0.25">
      <c r="A5939" s="4">
        <v>5934</v>
      </c>
      <c r="B5939" s="3" t="str">
        <f>"00477624"</f>
        <v>00477624</v>
      </c>
    </row>
    <row r="5940" spans="1:2" x14ac:dyDescent="0.25">
      <c r="A5940" s="4">
        <v>5935</v>
      </c>
      <c r="B5940" s="3" t="str">
        <f>"00477631"</f>
        <v>00477631</v>
      </c>
    </row>
    <row r="5941" spans="1:2" x14ac:dyDescent="0.25">
      <c r="A5941" s="4">
        <v>5936</v>
      </c>
      <c r="B5941" s="3" t="str">
        <f>"00477645"</f>
        <v>00477645</v>
      </c>
    </row>
    <row r="5942" spans="1:2" x14ac:dyDescent="0.25">
      <c r="A5942" s="4">
        <v>5937</v>
      </c>
      <c r="B5942" s="3" t="str">
        <f>"00477744"</f>
        <v>00477744</v>
      </c>
    </row>
    <row r="5943" spans="1:2" x14ac:dyDescent="0.25">
      <c r="A5943" s="4">
        <v>5938</v>
      </c>
      <c r="B5943" s="3" t="str">
        <f>"00477812"</f>
        <v>00477812</v>
      </c>
    </row>
    <row r="5944" spans="1:2" x14ac:dyDescent="0.25">
      <c r="A5944" s="4">
        <v>5939</v>
      </c>
      <c r="B5944" s="3" t="str">
        <f>"00477848"</f>
        <v>00477848</v>
      </c>
    </row>
    <row r="5945" spans="1:2" x14ac:dyDescent="0.25">
      <c r="A5945" s="4">
        <v>5940</v>
      </c>
      <c r="B5945" s="3" t="str">
        <f>"00477990"</f>
        <v>00477990</v>
      </c>
    </row>
    <row r="5946" spans="1:2" x14ac:dyDescent="0.25">
      <c r="A5946" s="4">
        <v>5941</v>
      </c>
      <c r="B5946" s="3" t="str">
        <f>"00478040"</f>
        <v>00478040</v>
      </c>
    </row>
    <row r="5947" spans="1:2" x14ac:dyDescent="0.25">
      <c r="A5947" s="4">
        <v>5942</v>
      </c>
      <c r="B5947" s="3" t="str">
        <f>"00478052"</f>
        <v>00478052</v>
      </c>
    </row>
    <row r="5948" spans="1:2" x14ac:dyDescent="0.25">
      <c r="A5948" s="4">
        <v>5943</v>
      </c>
      <c r="B5948" s="3" t="str">
        <f>"00478084"</f>
        <v>00478084</v>
      </c>
    </row>
    <row r="5949" spans="1:2" x14ac:dyDescent="0.25">
      <c r="A5949" s="4">
        <v>5944</v>
      </c>
      <c r="B5949" s="3" t="str">
        <f>"00478186"</f>
        <v>00478186</v>
      </c>
    </row>
    <row r="5950" spans="1:2" x14ac:dyDescent="0.25">
      <c r="A5950" s="4">
        <v>5945</v>
      </c>
      <c r="B5950" s="3" t="str">
        <f>"00478188"</f>
        <v>00478188</v>
      </c>
    </row>
    <row r="5951" spans="1:2" x14ac:dyDescent="0.25">
      <c r="A5951" s="4">
        <v>5946</v>
      </c>
      <c r="B5951" s="3" t="str">
        <f>"00478234"</f>
        <v>00478234</v>
      </c>
    </row>
    <row r="5952" spans="1:2" x14ac:dyDescent="0.25">
      <c r="A5952" s="4">
        <v>5947</v>
      </c>
      <c r="B5952" s="3" t="str">
        <f>"00478339"</f>
        <v>00478339</v>
      </c>
    </row>
    <row r="5953" spans="1:2" x14ac:dyDescent="0.25">
      <c r="A5953" s="4">
        <v>5948</v>
      </c>
      <c r="B5953" s="3" t="str">
        <f>"00478346"</f>
        <v>00478346</v>
      </c>
    </row>
    <row r="5954" spans="1:2" x14ac:dyDescent="0.25">
      <c r="A5954" s="4">
        <v>5949</v>
      </c>
      <c r="B5954" s="3" t="str">
        <f>"00478425"</f>
        <v>00478425</v>
      </c>
    </row>
    <row r="5955" spans="1:2" x14ac:dyDescent="0.25">
      <c r="A5955" s="4">
        <v>5950</v>
      </c>
      <c r="B5955" s="3" t="str">
        <f>"00478453"</f>
        <v>00478453</v>
      </c>
    </row>
    <row r="5956" spans="1:2" x14ac:dyDescent="0.25">
      <c r="A5956" s="4">
        <v>5951</v>
      </c>
      <c r="B5956" s="3" t="str">
        <f>"00478545"</f>
        <v>00478545</v>
      </c>
    </row>
    <row r="5957" spans="1:2" x14ac:dyDescent="0.25">
      <c r="A5957" s="4">
        <v>5952</v>
      </c>
      <c r="B5957" s="3" t="str">
        <f>"00478732"</f>
        <v>00478732</v>
      </c>
    </row>
    <row r="5958" spans="1:2" x14ac:dyDescent="0.25">
      <c r="A5958" s="4">
        <v>5953</v>
      </c>
      <c r="B5958" s="3" t="str">
        <f>"00478788"</f>
        <v>00478788</v>
      </c>
    </row>
    <row r="5959" spans="1:2" x14ac:dyDescent="0.25">
      <c r="A5959" s="4">
        <v>5954</v>
      </c>
      <c r="B5959" s="3" t="str">
        <f>"00478797"</f>
        <v>00478797</v>
      </c>
    </row>
    <row r="5960" spans="1:2" x14ac:dyDescent="0.25">
      <c r="A5960" s="4">
        <v>5955</v>
      </c>
      <c r="B5960" s="3" t="str">
        <f>"00478801"</f>
        <v>00478801</v>
      </c>
    </row>
    <row r="5961" spans="1:2" x14ac:dyDescent="0.25">
      <c r="A5961" s="4">
        <v>5956</v>
      </c>
      <c r="B5961" s="3" t="str">
        <f>"00478802"</f>
        <v>00478802</v>
      </c>
    </row>
    <row r="5962" spans="1:2" x14ac:dyDescent="0.25">
      <c r="A5962" s="4">
        <v>5957</v>
      </c>
      <c r="B5962" s="3" t="str">
        <f>"00478804"</f>
        <v>00478804</v>
      </c>
    </row>
    <row r="5963" spans="1:2" x14ac:dyDescent="0.25">
      <c r="A5963" s="4">
        <v>5958</v>
      </c>
      <c r="B5963" s="3" t="str">
        <f>"00478830"</f>
        <v>00478830</v>
      </c>
    </row>
    <row r="5964" spans="1:2" x14ac:dyDescent="0.25">
      <c r="A5964" s="4">
        <v>5959</v>
      </c>
      <c r="B5964" s="3" t="str">
        <f>"00478840"</f>
        <v>00478840</v>
      </c>
    </row>
    <row r="5965" spans="1:2" x14ac:dyDescent="0.25">
      <c r="A5965" s="4">
        <v>5960</v>
      </c>
      <c r="B5965" s="3" t="str">
        <f>"00478888"</f>
        <v>00478888</v>
      </c>
    </row>
    <row r="5966" spans="1:2" x14ac:dyDescent="0.25">
      <c r="A5966" s="4">
        <v>5961</v>
      </c>
      <c r="B5966" s="3" t="str">
        <f>"00479136"</f>
        <v>00479136</v>
      </c>
    </row>
    <row r="5967" spans="1:2" x14ac:dyDescent="0.25">
      <c r="A5967" s="4">
        <v>5962</v>
      </c>
      <c r="B5967" s="3" t="str">
        <f>"00479142"</f>
        <v>00479142</v>
      </c>
    </row>
    <row r="5968" spans="1:2" x14ac:dyDescent="0.25">
      <c r="A5968" s="4">
        <v>5963</v>
      </c>
      <c r="B5968" s="3" t="str">
        <f>"00479147"</f>
        <v>00479147</v>
      </c>
    </row>
    <row r="5969" spans="1:2" x14ac:dyDescent="0.25">
      <c r="A5969" s="4">
        <v>5964</v>
      </c>
      <c r="B5969" s="3" t="str">
        <f>"00479242"</f>
        <v>00479242</v>
      </c>
    </row>
    <row r="5970" spans="1:2" x14ac:dyDescent="0.25">
      <c r="A5970" s="4">
        <v>5965</v>
      </c>
      <c r="B5970" s="3" t="str">
        <f>"00479251"</f>
        <v>00479251</v>
      </c>
    </row>
    <row r="5971" spans="1:2" x14ac:dyDescent="0.25">
      <c r="A5971" s="4">
        <v>5966</v>
      </c>
      <c r="B5971" s="3" t="str">
        <f>"00479254"</f>
        <v>00479254</v>
      </c>
    </row>
    <row r="5972" spans="1:2" x14ac:dyDescent="0.25">
      <c r="A5972" s="4">
        <v>5967</v>
      </c>
      <c r="B5972" s="3" t="str">
        <f>"00479282"</f>
        <v>00479282</v>
      </c>
    </row>
    <row r="5973" spans="1:2" x14ac:dyDescent="0.25">
      <c r="A5973" s="4">
        <v>5968</v>
      </c>
      <c r="B5973" s="3" t="str">
        <f>"00479341"</f>
        <v>00479341</v>
      </c>
    </row>
    <row r="5974" spans="1:2" x14ac:dyDescent="0.25">
      <c r="A5974" s="4">
        <v>5969</v>
      </c>
      <c r="B5974" s="3" t="str">
        <f>"00479347"</f>
        <v>00479347</v>
      </c>
    </row>
    <row r="5975" spans="1:2" x14ac:dyDescent="0.25">
      <c r="A5975" s="4">
        <v>5970</v>
      </c>
      <c r="B5975" s="3" t="str">
        <f>"00479352"</f>
        <v>00479352</v>
      </c>
    </row>
    <row r="5976" spans="1:2" x14ac:dyDescent="0.25">
      <c r="A5976" s="4">
        <v>5971</v>
      </c>
      <c r="B5976" s="3" t="str">
        <f>"00479377"</f>
        <v>00479377</v>
      </c>
    </row>
    <row r="5977" spans="1:2" x14ac:dyDescent="0.25">
      <c r="A5977" s="4">
        <v>5972</v>
      </c>
      <c r="B5977" s="3" t="str">
        <f>"00479423"</f>
        <v>00479423</v>
      </c>
    </row>
    <row r="5978" spans="1:2" x14ac:dyDescent="0.25">
      <c r="A5978" s="4">
        <v>5973</v>
      </c>
      <c r="B5978" s="3" t="str">
        <f>"00479531"</f>
        <v>00479531</v>
      </c>
    </row>
    <row r="5979" spans="1:2" x14ac:dyDescent="0.25">
      <c r="A5979" s="4">
        <v>5974</v>
      </c>
      <c r="B5979" s="3" t="str">
        <f>"00479665"</f>
        <v>00479665</v>
      </c>
    </row>
    <row r="5980" spans="1:2" x14ac:dyDescent="0.25">
      <c r="A5980" s="4">
        <v>5975</v>
      </c>
      <c r="B5980" s="3" t="str">
        <f>"00479689"</f>
        <v>00479689</v>
      </c>
    </row>
    <row r="5981" spans="1:2" x14ac:dyDescent="0.25">
      <c r="A5981" s="4">
        <v>5976</v>
      </c>
      <c r="B5981" s="3" t="str">
        <f>"00479806"</f>
        <v>00479806</v>
      </c>
    </row>
    <row r="5982" spans="1:2" x14ac:dyDescent="0.25">
      <c r="A5982" s="4">
        <v>5977</v>
      </c>
      <c r="B5982" s="3" t="str">
        <f>"00479809"</f>
        <v>00479809</v>
      </c>
    </row>
    <row r="5983" spans="1:2" x14ac:dyDescent="0.25">
      <c r="A5983" s="4">
        <v>5978</v>
      </c>
      <c r="B5983" s="3" t="str">
        <f>"00479826"</f>
        <v>00479826</v>
      </c>
    </row>
    <row r="5984" spans="1:2" x14ac:dyDescent="0.25">
      <c r="A5984" s="4">
        <v>5979</v>
      </c>
      <c r="B5984" s="3" t="str">
        <f>"00479906"</f>
        <v>00479906</v>
      </c>
    </row>
    <row r="5985" spans="1:2" x14ac:dyDescent="0.25">
      <c r="A5985" s="4">
        <v>5980</v>
      </c>
      <c r="B5985" s="3" t="str">
        <f>"00479969"</f>
        <v>00479969</v>
      </c>
    </row>
    <row r="5986" spans="1:2" x14ac:dyDescent="0.25">
      <c r="A5986" s="4">
        <v>5981</v>
      </c>
      <c r="B5986" s="3" t="str">
        <f>"00480082"</f>
        <v>00480082</v>
      </c>
    </row>
    <row r="5987" spans="1:2" x14ac:dyDescent="0.25">
      <c r="A5987" s="4">
        <v>5982</v>
      </c>
      <c r="B5987" s="3" t="str">
        <f>"00480108"</f>
        <v>00480108</v>
      </c>
    </row>
    <row r="5988" spans="1:2" x14ac:dyDescent="0.25">
      <c r="A5988" s="4">
        <v>5983</v>
      </c>
      <c r="B5988" s="3" t="str">
        <f>"00480222"</f>
        <v>00480222</v>
      </c>
    </row>
    <row r="5989" spans="1:2" x14ac:dyDescent="0.25">
      <c r="A5989" s="4">
        <v>5984</v>
      </c>
      <c r="B5989" s="3" t="str">
        <f>"00480235"</f>
        <v>00480235</v>
      </c>
    </row>
    <row r="5990" spans="1:2" x14ac:dyDescent="0.25">
      <c r="A5990" s="4">
        <v>5985</v>
      </c>
      <c r="B5990" s="3" t="str">
        <f>"00480268"</f>
        <v>00480268</v>
      </c>
    </row>
    <row r="5991" spans="1:2" x14ac:dyDescent="0.25">
      <c r="A5991" s="4">
        <v>5986</v>
      </c>
      <c r="B5991" s="3" t="str">
        <f>"00480370"</f>
        <v>00480370</v>
      </c>
    </row>
    <row r="5992" spans="1:2" x14ac:dyDescent="0.25">
      <c r="A5992" s="4">
        <v>5987</v>
      </c>
      <c r="B5992" s="3" t="str">
        <f>"00480372"</f>
        <v>00480372</v>
      </c>
    </row>
    <row r="5993" spans="1:2" x14ac:dyDescent="0.25">
      <c r="A5993" s="4">
        <v>5988</v>
      </c>
      <c r="B5993" s="3" t="str">
        <f>"00480390"</f>
        <v>00480390</v>
      </c>
    </row>
    <row r="5994" spans="1:2" x14ac:dyDescent="0.25">
      <c r="A5994" s="4">
        <v>5989</v>
      </c>
      <c r="B5994" s="3" t="str">
        <f>"00480470"</f>
        <v>00480470</v>
      </c>
    </row>
    <row r="5995" spans="1:2" x14ac:dyDescent="0.25">
      <c r="A5995" s="4">
        <v>5990</v>
      </c>
      <c r="B5995" s="3" t="str">
        <f>"00480481"</f>
        <v>00480481</v>
      </c>
    </row>
    <row r="5996" spans="1:2" x14ac:dyDescent="0.25">
      <c r="A5996" s="4">
        <v>5991</v>
      </c>
      <c r="B5996" s="3" t="str">
        <f>"00480490"</f>
        <v>00480490</v>
      </c>
    </row>
    <row r="5997" spans="1:2" x14ac:dyDescent="0.25">
      <c r="A5997" s="4">
        <v>5992</v>
      </c>
      <c r="B5997" s="3" t="str">
        <f>"00480646"</f>
        <v>00480646</v>
      </c>
    </row>
    <row r="5998" spans="1:2" x14ac:dyDescent="0.25">
      <c r="A5998" s="4">
        <v>5993</v>
      </c>
      <c r="B5998" s="3" t="str">
        <f>"00480705"</f>
        <v>00480705</v>
      </c>
    </row>
    <row r="5999" spans="1:2" x14ac:dyDescent="0.25">
      <c r="A5999" s="4">
        <v>5994</v>
      </c>
      <c r="B5999" s="3" t="str">
        <f>"00480728"</f>
        <v>00480728</v>
      </c>
    </row>
    <row r="6000" spans="1:2" x14ac:dyDescent="0.25">
      <c r="A6000" s="4">
        <v>5995</v>
      </c>
      <c r="B6000" s="3" t="str">
        <f>"00480818"</f>
        <v>00480818</v>
      </c>
    </row>
    <row r="6001" spans="1:2" x14ac:dyDescent="0.25">
      <c r="A6001" s="4">
        <v>5996</v>
      </c>
      <c r="B6001" s="3" t="str">
        <f>"00480886"</f>
        <v>00480886</v>
      </c>
    </row>
    <row r="6002" spans="1:2" x14ac:dyDescent="0.25">
      <c r="A6002" s="4">
        <v>5997</v>
      </c>
      <c r="B6002" s="3" t="str">
        <f>"00480989"</f>
        <v>00480989</v>
      </c>
    </row>
    <row r="6003" spans="1:2" x14ac:dyDescent="0.25">
      <c r="A6003" s="4">
        <v>5998</v>
      </c>
      <c r="B6003" s="3" t="str">
        <f>"00481028"</f>
        <v>00481028</v>
      </c>
    </row>
    <row r="6004" spans="1:2" x14ac:dyDescent="0.25">
      <c r="A6004" s="4">
        <v>5999</v>
      </c>
      <c r="B6004" s="3" t="str">
        <f>"00481079"</f>
        <v>00481079</v>
      </c>
    </row>
    <row r="6005" spans="1:2" x14ac:dyDescent="0.25">
      <c r="A6005" s="4">
        <v>6000</v>
      </c>
      <c r="B6005" s="3" t="str">
        <f>"00481100"</f>
        <v>00481100</v>
      </c>
    </row>
    <row r="6006" spans="1:2" x14ac:dyDescent="0.25">
      <c r="A6006" s="4">
        <v>6001</v>
      </c>
      <c r="B6006" s="3" t="str">
        <f>"00481126"</f>
        <v>00481126</v>
      </c>
    </row>
    <row r="6007" spans="1:2" x14ac:dyDescent="0.25">
      <c r="A6007" s="4">
        <v>6002</v>
      </c>
      <c r="B6007" s="3" t="str">
        <f>"00481165"</f>
        <v>00481165</v>
      </c>
    </row>
    <row r="6008" spans="1:2" x14ac:dyDescent="0.25">
      <c r="A6008" s="4">
        <v>6003</v>
      </c>
      <c r="B6008" s="3" t="str">
        <f>"00481225"</f>
        <v>00481225</v>
      </c>
    </row>
    <row r="6009" spans="1:2" x14ac:dyDescent="0.25">
      <c r="A6009" s="4">
        <v>6004</v>
      </c>
      <c r="B6009" s="3" t="str">
        <f>"00481310"</f>
        <v>00481310</v>
      </c>
    </row>
    <row r="6010" spans="1:2" x14ac:dyDescent="0.25">
      <c r="A6010" s="4">
        <v>6005</v>
      </c>
      <c r="B6010" s="3" t="str">
        <f>"00481536"</f>
        <v>00481536</v>
      </c>
    </row>
    <row r="6011" spans="1:2" x14ac:dyDescent="0.25">
      <c r="A6011" s="4">
        <v>6006</v>
      </c>
      <c r="B6011" s="3" t="str">
        <f>"00481569"</f>
        <v>00481569</v>
      </c>
    </row>
    <row r="6012" spans="1:2" x14ac:dyDescent="0.25">
      <c r="A6012" s="4">
        <v>6007</v>
      </c>
      <c r="B6012" s="3" t="str">
        <f>"00481618"</f>
        <v>00481618</v>
      </c>
    </row>
    <row r="6013" spans="1:2" x14ac:dyDescent="0.25">
      <c r="A6013" s="4">
        <v>6008</v>
      </c>
      <c r="B6013" s="3" t="str">
        <f>"00481702"</f>
        <v>00481702</v>
      </c>
    </row>
    <row r="6014" spans="1:2" x14ac:dyDescent="0.25">
      <c r="A6014" s="4">
        <v>6009</v>
      </c>
      <c r="B6014" s="3" t="str">
        <f>"00482110"</f>
        <v>00482110</v>
      </c>
    </row>
    <row r="6015" spans="1:2" x14ac:dyDescent="0.25">
      <c r="A6015" s="4">
        <v>6010</v>
      </c>
      <c r="B6015" s="3" t="str">
        <f>"00482230"</f>
        <v>00482230</v>
      </c>
    </row>
    <row r="6016" spans="1:2" x14ac:dyDescent="0.25">
      <c r="A6016" s="4">
        <v>6011</v>
      </c>
      <c r="B6016" s="3" t="str">
        <f>"00482270"</f>
        <v>00482270</v>
      </c>
    </row>
    <row r="6017" spans="1:2" x14ac:dyDescent="0.25">
      <c r="A6017" s="4">
        <v>6012</v>
      </c>
      <c r="B6017" s="3" t="str">
        <f>"00482354"</f>
        <v>00482354</v>
      </c>
    </row>
    <row r="6018" spans="1:2" x14ac:dyDescent="0.25">
      <c r="A6018" s="4">
        <v>6013</v>
      </c>
      <c r="B6018" s="3" t="str">
        <f>"00482358"</f>
        <v>00482358</v>
      </c>
    </row>
    <row r="6019" spans="1:2" x14ac:dyDescent="0.25">
      <c r="A6019" s="4">
        <v>6014</v>
      </c>
      <c r="B6019" s="3" t="str">
        <f>"00482606"</f>
        <v>00482606</v>
      </c>
    </row>
    <row r="6020" spans="1:2" x14ac:dyDescent="0.25">
      <c r="A6020" s="4">
        <v>6015</v>
      </c>
      <c r="B6020" s="3" t="str">
        <f>"00482676"</f>
        <v>00482676</v>
      </c>
    </row>
    <row r="6021" spans="1:2" x14ac:dyDescent="0.25">
      <c r="A6021" s="4">
        <v>6016</v>
      </c>
      <c r="B6021" s="3" t="str">
        <f>"00482741"</f>
        <v>00482741</v>
      </c>
    </row>
    <row r="6022" spans="1:2" x14ac:dyDescent="0.25">
      <c r="A6022" s="4">
        <v>6017</v>
      </c>
      <c r="B6022" s="3" t="str">
        <f>"00482996"</f>
        <v>00482996</v>
      </c>
    </row>
    <row r="6023" spans="1:2" x14ac:dyDescent="0.25">
      <c r="A6023" s="4">
        <v>6018</v>
      </c>
      <c r="B6023" s="3" t="str">
        <f>"00483030"</f>
        <v>00483030</v>
      </c>
    </row>
    <row r="6024" spans="1:2" x14ac:dyDescent="0.25">
      <c r="A6024" s="4">
        <v>6019</v>
      </c>
      <c r="B6024" s="3" t="str">
        <f>"00483065"</f>
        <v>00483065</v>
      </c>
    </row>
    <row r="6025" spans="1:2" x14ac:dyDescent="0.25">
      <c r="A6025" s="4">
        <v>6020</v>
      </c>
      <c r="B6025" s="3" t="str">
        <f>"00483346"</f>
        <v>00483346</v>
      </c>
    </row>
    <row r="6026" spans="1:2" x14ac:dyDescent="0.25">
      <c r="A6026" s="4">
        <v>6021</v>
      </c>
      <c r="B6026" s="3" t="str">
        <f>"00483509"</f>
        <v>00483509</v>
      </c>
    </row>
    <row r="6027" spans="1:2" x14ac:dyDescent="0.25">
      <c r="A6027" s="4">
        <v>6022</v>
      </c>
      <c r="B6027" s="3" t="str">
        <f>"00483671"</f>
        <v>00483671</v>
      </c>
    </row>
    <row r="6028" spans="1:2" x14ac:dyDescent="0.25">
      <c r="A6028" s="4">
        <v>6023</v>
      </c>
      <c r="B6028" s="3" t="str">
        <f>"00483706"</f>
        <v>00483706</v>
      </c>
    </row>
    <row r="6029" spans="1:2" x14ac:dyDescent="0.25">
      <c r="A6029" s="4">
        <v>6024</v>
      </c>
      <c r="B6029" s="3" t="str">
        <f>"00483747"</f>
        <v>00483747</v>
      </c>
    </row>
    <row r="6030" spans="1:2" x14ac:dyDescent="0.25">
      <c r="A6030" s="4">
        <v>6025</v>
      </c>
      <c r="B6030" s="3" t="str">
        <f>"00483793"</f>
        <v>00483793</v>
      </c>
    </row>
    <row r="6031" spans="1:2" x14ac:dyDescent="0.25">
      <c r="A6031" s="4">
        <v>6026</v>
      </c>
      <c r="B6031" s="3" t="str">
        <f>"00483822"</f>
        <v>00483822</v>
      </c>
    </row>
    <row r="6032" spans="1:2" x14ac:dyDescent="0.25">
      <c r="A6032" s="4">
        <v>6027</v>
      </c>
      <c r="B6032" s="3" t="str">
        <f>"00483823"</f>
        <v>00483823</v>
      </c>
    </row>
    <row r="6033" spans="1:2" x14ac:dyDescent="0.25">
      <c r="A6033" s="4">
        <v>6028</v>
      </c>
      <c r="B6033" s="3" t="str">
        <f>"00484056"</f>
        <v>00484056</v>
      </c>
    </row>
    <row r="6034" spans="1:2" x14ac:dyDescent="0.25">
      <c r="A6034" s="4">
        <v>6029</v>
      </c>
      <c r="B6034" s="3" t="str">
        <f>"00484081"</f>
        <v>00484081</v>
      </c>
    </row>
    <row r="6035" spans="1:2" x14ac:dyDescent="0.25">
      <c r="A6035" s="4">
        <v>6030</v>
      </c>
      <c r="B6035" s="3" t="str">
        <f>"00484111"</f>
        <v>00484111</v>
      </c>
    </row>
    <row r="6036" spans="1:2" x14ac:dyDescent="0.25">
      <c r="A6036" s="4">
        <v>6031</v>
      </c>
      <c r="B6036" s="3" t="str">
        <f>"00484365"</f>
        <v>00484365</v>
      </c>
    </row>
    <row r="6037" spans="1:2" x14ac:dyDescent="0.25">
      <c r="A6037" s="4">
        <v>6032</v>
      </c>
      <c r="B6037" s="3" t="str">
        <f>"00484398"</f>
        <v>00484398</v>
      </c>
    </row>
    <row r="6038" spans="1:2" x14ac:dyDescent="0.25">
      <c r="A6038" s="4">
        <v>6033</v>
      </c>
      <c r="B6038" s="3" t="str">
        <f>"00484425"</f>
        <v>00484425</v>
      </c>
    </row>
    <row r="6039" spans="1:2" x14ac:dyDescent="0.25">
      <c r="A6039" s="4">
        <v>6034</v>
      </c>
      <c r="B6039" s="3" t="str">
        <f>"00484428"</f>
        <v>00484428</v>
      </c>
    </row>
    <row r="6040" spans="1:2" x14ac:dyDescent="0.25">
      <c r="A6040" s="4">
        <v>6035</v>
      </c>
      <c r="B6040" s="3" t="str">
        <f>"00484559"</f>
        <v>00484559</v>
      </c>
    </row>
    <row r="6041" spans="1:2" x14ac:dyDescent="0.25">
      <c r="A6041" s="4">
        <v>6036</v>
      </c>
      <c r="B6041" s="3" t="str">
        <f>"00484680"</f>
        <v>00484680</v>
      </c>
    </row>
    <row r="6042" spans="1:2" x14ac:dyDescent="0.25">
      <c r="A6042" s="4">
        <v>6037</v>
      </c>
      <c r="B6042" s="3" t="str">
        <f>"00484701"</f>
        <v>00484701</v>
      </c>
    </row>
    <row r="6043" spans="1:2" x14ac:dyDescent="0.25">
      <c r="A6043" s="4">
        <v>6038</v>
      </c>
      <c r="B6043" s="3" t="str">
        <f>"00484721"</f>
        <v>00484721</v>
      </c>
    </row>
    <row r="6044" spans="1:2" x14ac:dyDescent="0.25">
      <c r="A6044" s="4">
        <v>6039</v>
      </c>
      <c r="B6044" s="3" t="str">
        <f>"00484808"</f>
        <v>00484808</v>
      </c>
    </row>
    <row r="6045" spans="1:2" x14ac:dyDescent="0.25">
      <c r="A6045" s="4">
        <v>6040</v>
      </c>
      <c r="B6045" s="3" t="str">
        <f>"00484817"</f>
        <v>00484817</v>
      </c>
    </row>
    <row r="6046" spans="1:2" x14ac:dyDescent="0.25">
      <c r="A6046" s="4">
        <v>6041</v>
      </c>
      <c r="B6046" s="3" t="str">
        <f>"00484840"</f>
        <v>00484840</v>
      </c>
    </row>
    <row r="6047" spans="1:2" x14ac:dyDescent="0.25">
      <c r="A6047" s="4">
        <v>6042</v>
      </c>
      <c r="B6047" s="3" t="str">
        <f>"00484881"</f>
        <v>00484881</v>
      </c>
    </row>
    <row r="6048" spans="1:2" x14ac:dyDescent="0.25">
      <c r="A6048" s="4">
        <v>6043</v>
      </c>
      <c r="B6048" s="3" t="str">
        <f>"00485134"</f>
        <v>00485134</v>
      </c>
    </row>
    <row r="6049" spans="1:2" x14ac:dyDescent="0.25">
      <c r="A6049" s="4">
        <v>6044</v>
      </c>
      <c r="B6049" s="3" t="str">
        <f>"00485215"</f>
        <v>00485215</v>
      </c>
    </row>
    <row r="6050" spans="1:2" x14ac:dyDescent="0.25">
      <c r="A6050" s="4">
        <v>6045</v>
      </c>
      <c r="B6050" s="3" t="str">
        <f>"00485228"</f>
        <v>00485228</v>
      </c>
    </row>
    <row r="6051" spans="1:2" x14ac:dyDescent="0.25">
      <c r="A6051" s="4">
        <v>6046</v>
      </c>
      <c r="B6051" s="3" t="str">
        <f>"00485390"</f>
        <v>00485390</v>
      </c>
    </row>
    <row r="6052" spans="1:2" x14ac:dyDescent="0.25">
      <c r="A6052" s="4">
        <v>6047</v>
      </c>
      <c r="B6052" s="3" t="str">
        <f>"00485551"</f>
        <v>00485551</v>
      </c>
    </row>
    <row r="6053" spans="1:2" x14ac:dyDescent="0.25">
      <c r="A6053" s="4">
        <v>6048</v>
      </c>
      <c r="B6053" s="3" t="str">
        <f>"00485555"</f>
        <v>00485555</v>
      </c>
    </row>
    <row r="6054" spans="1:2" x14ac:dyDescent="0.25">
      <c r="A6054" s="4">
        <v>6049</v>
      </c>
      <c r="B6054" s="3" t="str">
        <f>"00485600"</f>
        <v>00485600</v>
      </c>
    </row>
    <row r="6055" spans="1:2" x14ac:dyDescent="0.25">
      <c r="A6055" s="4">
        <v>6050</v>
      </c>
      <c r="B6055" s="3" t="str">
        <f>"00485626"</f>
        <v>00485626</v>
      </c>
    </row>
    <row r="6056" spans="1:2" x14ac:dyDescent="0.25">
      <c r="A6056" s="4">
        <v>6051</v>
      </c>
      <c r="B6056" s="3" t="str">
        <f>"00485682"</f>
        <v>00485682</v>
      </c>
    </row>
    <row r="6057" spans="1:2" x14ac:dyDescent="0.25">
      <c r="A6057" s="4">
        <v>6052</v>
      </c>
      <c r="B6057" s="3" t="str">
        <f>"00485725"</f>
        <v>00485725</v>
      </c>
    </row>
    <row r="6058" spans="1:2" x14ac:dyDescent="0.25">
      <c r="A6058" s="4">
        <v>6053</v>
      </c>
      <c r="B6058" s="3" t="str">
        <f>"00485834"</f>
        <v>00485834</v>
      </c>
    </row>
    <row r="6059" spans="1:2" x14ac:dyDescent="0.25">
      <c r="A6059" s="4">
        <v>6054</v>
      </c>
      <c r="B6059" s="3" t="str">
        <f>"00485865"</f>
        <v>00485865</v>
      </c>
    </row>
    <row r="6060" spans="1:2" x14ac:dyDescent="0.25">
      <c r="A6060" s="4">
        <v>6055</v>
      </c>
      <c r="B6060" s="3" t="str">
        <f>"00485901"</f>
        <v>00485901</v>
      </c>
    </row>
    <row r="6061" spans="1:2" x14ac:dyDescent="0.25">
      <c r="A6061" s="4">
        <v>6056</v>
      </c>
      <c r="B6061" s="3" t="str">
        <f>"00485922"</f>
        <v>00485922</v>
      </c>
    </row>
    <row r="6062" spans="1:2" x14ac:dyDescent="0.25">
      <c r="A6062" s="4">
        <v>6057</v>
      </c>
      <c r="B6062" s="3" t="str">
        <f>"00485943"</f>
        <v>00485943</v>
      </c>
    </row>
    <row r="6063" spans="1:2" x14ac:dyDescent="0.25">
      <c r="A6063" s="4">
        <v>6058</v>
      </c>
      <c r="B6063" s="3" t="str">
        <f>"00486012"</f>
        <v>00486012</v>
      </c>
    </row>
    <row r="6064" spans="1:2" x14ac:dyDescent="0.25">
      <c r="A6064" s="4">
        <v>6059</v>
      </c>
      <c r="B6064" s="3" t="str">
        <f>"00486017"</f>
        <v>00486017</v>
      </c>
    </row>
    <row r="6065" spans="1:2" x14ac:dyDescent="0.25">
      <c r="A6065" s="4">
        <v>6060</v>
      </c>
      <c r="B6065" s="3" t="str">
        <f>"00486118"</f>
        <v>00486118</v>
      </c>
    </row>
    <row r="6066" spans="1:2" x14ac:dyDescent="0.25">
      <c r="A6066" s="4">
        <v>6061</v>
      </c>
      <c r="B6066" s="3" t="str">
        <f>"00486148"</f>
        <v>00486148</v>
      </c>
    </row>
    <row r="6067" spans="1:2" x14ac:dyDescent="0.25">
      <c r="A6067" s="4">
        <v>6062</v>
      </c>
      <c r="B6067" s="3" t="str">
        <f>"00486243"</f>
        <v>00486243</v>
      </c>
    </row>
    <row r="6068" spans="1:2" x14ac:dyDescent="0.25">
      <c r="A6068" s="4">
        <v>6063</v>
      </c>
      <c r="B6068" s="3" t="str">
        <f>"00486289"</f>
        <v>00486289</v>
      </c>
    </row>
    <row r="6069" spans="1:2" x14ac:dyDescent="0.25">
      <c r="A6069" s="4">
        <v>6064</v>
      </c>
      <c r="B6069" s="3" t="str">
        <f>"00486304"</f>
        <v>00486304</v>
      </c>
    </row>
    <row r="6070" spans="1:2" x14ac:dyDescent="0.25">
      <c r="A6070" s="4">
        <v>6065</v>
      </c>
      <c r="B6070" s="3" t="str">
        <f>"00486333"</f>
        <v>00486333</v>
      </c>
    </row>
    <row r="6071" spans="1:2" x14ac:dyDescent="0.25">
      <c r="A6071" s="4">
        <v>6066</v>
      </c>
      <c r="B6071" s="3" t="str">
        <f>"00486408"</f>
        <v>00486408</v>
      </c>
    </row>
    <row r="6072" spans="1:2" x14ac:dyDescent="0.25">
      <c r="A6072" s="4">
        <v>6067</v>
      </c>
      <c r="B6072" s="3" t="str">
        <f>"00486433"</f>
        <v>00486433</v>
      </c>
    </row>
    <row r="6073" spans="1:2" x14ac:dyDescent="0.25">
      <c r="A6073" s="4">
        <v>6068</v>
      </c>
      <c r="B6073" s="3" t="str">
        <f>"00486517"</f>
        <v>00486517</v>
      </c>
    </row>
    <row r="6074" spans="1:2" x14ac:dyDescent="0.25">
      <c r="A6074" s="4">
        <v>6069</v>
      </c>
      <c r="B6074" s="3" t="str">
        <f>"00486535"</f>
        <v>00486535</v>
      </c>
    </row>
    <row r="6075" spans="1:2" x14ac:dyDescent="0.25">
      <c r="A6075" s="4">
        <v>6070</v>
      </c>
      <c r="B6075" s="3" t="str">
        <f>"00486565"</f>
        <v>00486565</v>
      </c>
    </row>
    <row r="6076" spans="1:2" x14ac:dyDescent="0.25">
      <c r="A6076" s="4">
        <v>6071</v>
      </c>
      <c r="B6076" s="3" t="str">
        <f>"00486676"</f>
        <v>00486676</v>
      </c>
    </row>
    <row r="6077" spans="1:2" x14ac:dyDescent="0.25">
      <c r="A6077" s="4">
        <v>6072</v>
      </c>
      <c r="B6077" s="3" t="str">
        <f>"00486698"</f>
        <v>00486698</v>
      </c>
    </row>
    <row r="6078" spans="1:2" x14ac:dyDescent="0.25">
      <c r="A6078" s="4">
        <v>6073</v>
      </c>
      <c r="B6078" s="3" t="str">
        <f>"00486760"</f>
        <v>00486760</v>
      </c>
    </row>
    <row r="6079" spans="1:2" x14ac:dyDescent="0.25">
      <c r="A6079" s="4">
        <v>6074</v>
      </c>
      <c r="B6079" s="3" t="str">
        <f>"00486783"</f>
        <v>00486783</v>
      </c>
    </row>
    <row r="6080" spans="1:2" x14ac:dyDescent="0.25">
      <c r="A6080" s="4">
        <v>6075</v>
      </c>
      <c r="B6080" s="3" t="str">
        <f>"00486910"</f>
        <v>00486910</v>
      </c>
    </row>
    <row r="6081" spans="1:2" x14ac:dyDescent="0.25">
      <c r="A6081" s="4">
        <v>6076</v>
      </c>
      <c r="B6081" s="3" t="str">
        <f>"00486937"</f>
        <v>00486937</v>
      </c>
    </row>
    <row r="6082" spans="1:2" x14ac:dyDescent="0.25">
      <c r="A6082" s="4">
        <v>6077</v>
      </c>
      <c r="B6082" s="3" t="str">
        <f>"00487039"</f>
        <v>00487039</v>
      </c>
    </row>
    <row r="6083" spans="1:2" x14ac:dyDescent="0.25">
      <c r="A6083" s="4">
        <v>6078</v>
      </c>
      <c r="B6083" s="3" t="str">
        <f>"00487063"</f>
        <v>00487063</v>
      </c>
    </row>
    <row r="6084" spans="1:2" x14ac:dyDescent="0.25">
      <c r="A6084" s="4">
        <v>6079</v>
      </c>
      <c r="B6084" s="3" t="str">
        <f>"00487076"</f>
        <v>00487076</v>
      </c>
    </row>
    <row r="6085" spans="1:2" x14ac:dyDescent="0.25">
      <c r="A6085" s="4">
        <v>6080</v>
      </c>
      <c r="B6085" s="3" t="str">
        <f>"00487091"</f>
        <v>00487091</v>
      </c>
    </row>
    <row r="6086" spans="1:2" x14ac:dyDescent="0.25">
      <c r="A6086" s="4">
        <v>6081</v>
      </c>
      <c r="B6086" s="3" t="str">
        <f>"00487124"</f>
        <v>00487124</v>
      </c>
    </row>
    <row r="6087" spans="1:2" x14ac:dyDescent="0.25">
      <c r="A6087" s="4">
        <v>6082</v>
      </c>
      <c r="B6087" s="3" t="str">
        <f>"00487152"</f>
        <v>00487152</v>
      </c>
    </row>
    <row r="6088" spans="1:2" x14ac:dyDescent="0.25">
      <c r="A6088" s="4">
        <v>6083</v>
      </c>
      <c r="B6088" s="3" t="str">
        <f>"00487184"</f>
        <v>00487184</v>
      </c>
    </row>
    <row r="6089" spans="1:2" x14ac:dyDescent="0.25">
      <c r="A6089" s="4">
        <v>6084</v>
      </c>
      <c r="B6089" s="3" t="str">
        <f>"00487214"</f>
        <v>00487214</v>
      </c>
    </row>
    <row r="6090" spans="1:2" x14ac:dyDescent="0.25">
      <c r="A6090" s="4">
        <v>6085</v>
      </c>
      <c r="B6090" s="3" t="str">
        <f>"00487233"</f>
        <v>00487233</v>
      </c>
    </row>
    <row r="6091" spans="1:2" x14ac:dyDescent="0.25">
      <c r="A6091" s="4">
        <v>6086</v>
      </c>
      <c r="B6091" s="3" t="str">
        <f>"00487277"</f>
        <v>00487277</v>
      </c>
    </row>
    <row r="6092" spans="1:2" x14ac:dyDescent="0.25">
      <c r="A6092" s="4">
        <v>6087</v>
      </c>
      <c r="B6092" s="3" t="str">
        <f>"00487424"</f>
        <v>00487424</v>
      </c>
    </row>
    <row r="6093" spans="1:2" x14ac:dyDescent="0.25">
      <c r="A6093" s="4">
        <v>6088</v>
      </c>
      <c r="B6093" s="3" t="str">
        <f>"00487432"</f>
        <v>00487432</v>
      </c>
    </row>
    <row r="6094" spans="1:2" x14ac:dyDescent="0.25">
      <c r="A6094" s="4">
        <v>6089</v>
      </c>
      <c r="B6094" s="3" t="str">
        <f>"00487495"</f>
        <v>00487495</v>
      </c>
    </row>
    <row r="6095" spans="1:2" x14ac:dyDescent="0.25">
      <c r="A6095" s="4">
        <v>6090</v>
      </c>
      <c r="B6095" s="3" t="str">
        <f>"00487507"</f>
        <v>00487507</v>
      </c>
    </row>
    <row r="6096" spans="1:2" x14ac:dyDescent="0.25">
      <c r="A6096" s="4">
        <v>6091</v>
      </c>
      <c r="B6096" s="3" t="str">
        <f>"00487510"</f>
        <v>00487510</v>
      </c>
    </row>
    <row r="6097" spans="1:2" x14ac:dyDescent="0.25">
      <c r="A6097" s="4">
        <v>6092</v>
      </c>
      <c r="B6097" s="3" t="str">
        <f>"00487538"</f>
        <v>00487538</v>
      </c>
    </row>
    <row r="6098" spans="1:2" x14ac:dyDescent="0.25">
      <c r="A6098" s="4">
        <v>6093</v>
      </c>
      <c r="B6098" s="3" t="str">
        <f>"00487571"</f>
        <v>00487571</v>
      </c>
    </row>
    <row r="6099" spans="1:2" x14ac:dyDescent="0.25">
      <c r="A6099" s="4">
        <v>6094</v>
      </c>
      <c r="B6099" s="3" t="str">
        <f>"00487595"</f>
        <v>00487595</v>
      </c>
    </row>
    <row r="6100" spans="1:2" x14ac:dyDescent="0.25">
      <c r="A6100" s="4">
        <v>6095</v>
      </c>
      <c r="B6100" s="3" t="str">
        <f>"00487616"</f>
        <v>00487616</v>
      </c>
    </row>
    <row r="6101" spans="1:2" x14ac:dyDescent="0.25">
      <c r="A6101" s="4">
        <v>6096</v>
      </c>
      <c r="B6101" s="3" t="str">
        <f>"00487628"</f>
        <v>00487628</v>
      </c>
    </row>
    <row r="6102" spans="1:2" x14ac:dyDescent="0.25">
      <c r="A6102" s="4">
        <v>6097</v>
      </c>
      <c r="B6102" s="3" t="str">
        <f>"00487641"</f>
        <v>00487641</v>
      </c>
    </row>
    <row r="6103" spans="1:2" x14ac:dyDescent="0.25">
      <c r="A6103" s="4">
        <v>6098</v>
      </c>
      <c r="B6103" s="3" t="str">
        <f>"00487648"</f>
        <v>00487648</v>
      </c>
    </row>
    <row r="6104" spans="1:2" x14ac:dyDescent="0.25">
      <c r="A6104" s="4">
        <v>6099</v>
      </c>
      <c r="B6104" s="3" t="str">
        <f>"00487694"</f>
        <v>00487694</v>
      </c>
    </row>
    <row r="6105" spans="1:2" x14ac:dyDescent="0.25">
      <c r="A6105" s="4">
        <v>6100</v>
      </c>
      <c r="B6105" s="3" t="str">
        <f>"00487749"</f>
        <v>00487749</v>
      </c>
    </row>
    <row r="6106" spans="1:2" x14ac:dyDescent="0.25">
      <c r="A6106" s="4">
        <v>6101</v>
      </c>
      <c r="B6106" s="3" t="str">
        <f>"00487771"</f>
        <v>00487771</v>
      </c>
    </row>
    <row r="6107" spans="1:2" x14ac:dyDescent="0.25">
      <c r="A6107" s="4">
        <v>6102</v>
      </c>
      <c r="B6107" s="3" t="str">
        <f>"00487801"</f>
        <v>00487801</v>
      </c>
    </row>
    <row r="6108" spans="1:2" x14ac:dyDescent="0.25">
      <c r="A6108" s="4">
        <v>6103</v>
      </c>
      <c r="B6108" s="3" t="str">
        <f>"00487843"</f>
        <v>00487843</v>
      </c>
    </row>
    <row r="6109" spans="1:2" x14ac:dyDescent="0.25">
      <c r="A6109" s="4">
        <v>6104</v>
      </c>
      <c r="B6109" s="3" t="str">
        <f>"00487848"</f>
        <v>00487848</v>
      </c>
    </row>
    <row r="6110" spans="1:2" x14ac:dyDescent="0.25">
      <c r="A6110" s="4">
        <v>6105</v>
      </c>
      <c r="B6110" s="3" t="str">
        <f>"00487870"</f>
        <v>00487870</v>
      </c>
    </row>
    <row r="6111" spans="1:2" x14ac:dyDescent="0.25">
      <c r="A6111" s="4">
        <v>6106</v>
      </c>
      <c r="B6111" s="3" t="str">
        <f>"00487885"</f>
        <v>00487885</v>
      </c>
    </row>
    <row r="6112" spans="1:2" x14ac:dyDescent="0.25">
      <c r="A6112" s="4">
        <v>6107</v>
      </c>
      <c r="B6112" s="3" t="str">
        <f>"00487889"</f>
        <v>00487889</v>
      </c>
    </row>
    <row r="6113" spans="1:2" x14ac:dyDescent="0.25">
      <c r="A6113" s="4">
        <v>6108</v>
      </c>
      <c r="B6113" s="3" t="str">
        <f>"00487895"</f>
        <v>00487895</v>
      </c>
    </row>
    <row r="6114" spans="1:2" x14ac:dyDescent="0.25">
      <c r="A6114" s="4">
        <v>6109</v>
      </c>
      <c r="B6114" s="3" t="str">
        <f>"00488002"</f>
        <v>00488002</v>
      </c>
    </row>
    <row r="6115" spans="1:2" x14ac:dyDescent="0.25">
      <c r="A6115" s="4">
        <v>6110</v>
      </c>
      <c r="B6115" s="3" t="str">
        <f>"00488213"</f>
        <v>00488213</v>
      </c>
    </row>
    <row r="6116" spans="1:2" x14ac:dyDescent="0.25">
      <c r="A6116" s="4">
        <v>6111</v>
      </c>
      <c r="B6116" s="3" t="str">
        <f>"00488228"</f>
        <v>00488228</v>
      </c>
    </row>
    <row r="6117" spans="1:2" x14ac:dyDescent="0.25">
      <c r="A6117" s="4">
        <v>6112</v>
      </c>
      <c r="B6117" s="3" t="str">
        <f>"00488298"</f>
        <v>00488298</v>
      </c>
    </row>
    <row r="6118" spans="1:2" x14ac:dyDescent="0.25">
      <c r="A6118" s="4">
        <v>6113</v>
      </c>
      <c r="B6118" s="3" t="str">
        <f>"00488303"</f>
        <v>00488303</v>
      </c>
    </row>
    <row r="6119" spans="1:2" x14ac:dyDescent="0.25">
      <c r="A6119" s="4">
        <v>6114</v>
      </c>
      <c r="B6119" s="3" t="str">
        <f>"00488306"</f>
        <v>00488306</v>
      </c>
    </row>
    <row r="6120" spans="1:2" x14ac:dyDescent="0.25">
      <c r="A6120" s="4">
        <v>6115</v>
      </c>
      <c r="B6120" s="3" t="str">
        <f>"00488314"</f>
        <v>00488314</v>
      </c>
    </row>
    <row r="6121" spans="1:2" x14ac:dyDescent="0.25">
      <c r="A6121" s="4">
        <v>6116</v>
      </c>
      <c r="B6121" s="3" t="str">
        <f>"00488358"</f>
        <v>00488358</v>
      </c>
    </row>
    <row r="6122" spans="1:2" x14ac:dyDescent="0.25">
      <c r="A6122" s="4">
        <v>6117</v>
      </c>
      <c r="B6122" s="3" t="str">
        <f>"00488369"</f>
        <v>00488369</v>
      </c>
    </row>
    <row r="6123" spans="1:2" x14ac:dyDescent="0.25">
      <c r="A6123" s="4">
        <v>6118</v>
      </c>
      <c r="B6123" s="3" t="str">
        <f>"00488378"</f>
        <v>00488378</v>
      </c>
    </row>
    <row r="6124" spans="1:2" x14ac:dyDescent="0.25">
      <c r="A6124" s="4">
        <v>6119</v>
      </c>
      <c r="B6124" s="3" t="str">
        <f>"00488429"</f>
        <v>00488429</v>
      </c>
    </row>
    <row r="6125" spans="1:2" x14ac:dyDescent="0.25">
      <c r="A6125" s="4">
        <v>6120</v>
      </c>
      <c r="B6125" s="3" t="str">
        <f>"00488431"</f>
        <v>00488431</v>
      </c>
    </row>
    <row r="6126" spans="1:2" x14ac:dyDescent="0.25">
      <c r="A6126" s="4">
        <v>6121</v>
      </c>
      <c r="B6126" s="3" t="str">
        <f>"00488557"</f>
        <v>00488557</v>
      </c>
    </row>
    <row r="6127" spans="1:2" x14ac:dyDescent="0.25">
      <c r="A6127" s="4">
        <v>6122</v>
      </c>
      <c r="B6127" s="3" t="str">
        <f>"00488559"</f>
        <v>00488559</v>
      </c>
    </row>
    <row r="6128" spans="1:2" x14ac:dyDescent="0.25">
      <c r="A6128" s="4">
        <v>6123</v>
      </c>
      <c r="B6128" s="3" t="str">
        <f>"00488562"</f>
        <v>00488562</v>
      </c>
    </row>
    <row r="6129" spans="1:2" x14ac:dyDescent="0.25">
      <c r="A6129" s="4">
        <v>6124</v>
      </c>
      <c r="B6129" s="3" t="str">
        <f>"00488585"</f>
        <v>00488585</v>
      </c>
    </row>
    <row r="6130" spans="1:2" x14ac:dyDescent="0.25">
      <c r="A6130" s="4">
        <v>6125</v>
      </c>
      <c r="B6130" s="3" t="str">
        <f>"00488619"</f>
        <v>00488619</v>
      </c>
    </row>
    <row r="6131" spans="1:2" x14ac:dyDescent="0.25">
      <c r="A6131" s="4">
        <v>6126</v>
      </c>
      <c r="B6131" s="3" t="str">
        <f>"00488649"</f>
        <v>00488649</v>
      </c>
    </row>
    <row r="6132" spans="1:2" x14ac:dyDescent="0.25">
      <c r="A6132" s="4">
        <v>6127</v>
      </c>
      <c r="B6132" s="3" t="str">
        <f>"00488672"</f>
        <v>00488672</v>
      </c>
    </row>
    <row r="6133" spans="1:2" x14ac:dyDescent="0.25">
      <c r="A6133" s="4">
        <v>6128</v>
      </c>
      <c r="B6133" s="3" t="str">
        <f>"00488720"</f>
        <v>00488720</v>
      </c>
    </row>
    <row r="6134" spans="1:2" x14ac:dyDescent="0.25">
      <c r="A6134" s="4">
        <v>6129</v>
      </c>
      <c r="B6134" s="3" t="str">
        <f>"00488865"</f>
        <v>00488865</v>
      </c>
    </row>
    <row r="6135" spans="1:2" x14ac:dyDescent="0.25">
      <c r="A6135" s="4">
        <v>6130</v>
      </c>
      <c r="B6135" s="3" t="str">
        <f>"00488876"</f>
        <v>00488876</v>
      </c>
    </row>
    <row r="6136" spans="1:2" x14ac:dyDescent="0.25">
      <c r="A6136" s="4">
        <v>6131</v>
      </c>
      <c r="B6136" s="3" t="str">
        <f>"00488887"</f>
        <v>00488887</v>
      </c>
    </row>
    <row r="6137" spans="1:2" x14ac:dyDescent="0.25">
      <c r="A6137" s="4">
        <v>6132</v>
      </c>
      <c r="B6137" s="3" t="str">
        <f>"00488908"</f>
        <v>00488908</v>
      </c>
    </row>
    <row r="6138" spans="1:2" x14ac:dyDescent="0.25">
      <c r="A6138" s="4">
        <v>6133</v>
      </c>
      <c r="B6138" s="3" t="str">
        <f>"00488921"</f>
        <v>00488921</v>
      </c>
    </row>
    <row r="6139" spans="1:2" x14ac:dyDescent="0.25">
      <c r="A6139" s="4">
        <v>6134</v>
      </c>
      <c r="B6139" s="3" t="str">
        <f>"00488923"</f>
        <v>00488923</v>
      </c>
    </row>
    <row r="6140" spans="1:2" x14ac:dyDescent="0.25">
      <c r="A6140" s="4">
        <v>6135</v>
      </c>
      <c r="B6140" s="3" t="str">
        <f>"00488932"</f>
        <v>00488932</v>
      </c>
    </row>
    <row r="6141" spans="1:2" x14ac:dyDescent="0.25">
      <c r="A6141" s="4">
        <v>6136</v>
      </c>
      <c r="B6141" s="3" t="str">
        <f>"00488937"</f>
        <v>00488937</v>
      </c>
    </row>
    <row r="6142" spans="1:2" x14ac:dyDescent="0.25">
      <c r="A6142" s="4">
        <v>6137</v>
      </c>
      <c r="B6142" s="3" t="str">
        <f>"00489036"</f>
        <v>00489036</v>
      </c>
    </row>
    <row r="6143" spans="1:2" x14ac:dyDescent="0.25">
      <c r="A6143" s="4">
        <v>6138</v>
      </c>
      <c r="B6143" s="3" t="str">
        <f>"00489051"</f>
        <v>00489051</v>
      </c>
    </row>
    <row r="6144" spans="1:2" x14ac:dyDescent="0.25">
      <c r="A6144" s="4">
        <v>6139</v>
      </c>
      <c r="B6144" s="3" t="str">
        <f>"00489101"</f>
        <v>00489101</v>
      </c>
    </row>
    <row r="6145" spans="1:2" x14ac:dyDescent="0.25">
      <c r="A6145" s="4">
        <v>6140</v>
      </c>
      <c r="B6145" s="3" t="str">
        <f>"00489117"</f>
        <v>00489117</v>
      </c>
    </row>
    <row r="6146" spans="1:2" x14ac:dyDescent="0.25">
      <c r="A6146" s="4">
        <v>6141</v>
      </c>
      <c r="B6146" s="3" t="str">
        <f>"00489134"</f>
        <v>00489134</v>
      </c>
    </row>
    <row r="6147" spans="1:2" x14ac:dyDescent="0.25">
      <c r="A6147" s="4">
        <v>6142</v>
      </c>
      <c r="B6147" s="3" t="str">
        <f>"00489148"</f>
        <v>00489148</v>
      </c>
    </row>
    <row r="6148" spans="1:2" x14ac:dyDescent="0.25">
      <c r="A6148" s="4">
        <v>6143</v>
      </c>
      <c r="B6148" s="3" t="str">
        <f>"00489167"</f>
        <v>00489167</v>
      </c>
    </row>
    <row r="6149" spans="1:2" x14ac:dyDescent="0.25">
      <c r="A6149" s="4">
        <v>6144</v>
      </c>
      <c r="B6149" s="3" t="str">
        <f>"00489358"</f>
        <v>00489358</v>
      </c>
    </row>
    <row r="6150" spans="1:2" x14ac:dyDescent="0.25">
      <c r="A6150" s="4">
        <v>6145</v>
      </c>
      <c r="B6150" s="3" t="str">
        <f>"00489395"</f>
        <v>00489395</v>
      </c>
    </row>
    <row r="6151" spans="1:2" x14ac:dyDescent="0.25">
      <c r="A6151" s="4">
        <v>6146</v>
      </c>
      <c r="B6151" s="3" t="str">
        <f>"00489450"</f>
        <v>00489450</v>
      </c>
    </row>
    <row r="6152" spans="1:2" x14ac:dyDescent="0.25">
      <c r="A6152" s="4">
        <v>6147</v>
      </c>
      <c r="B6152" s="3" t="str">
        <f>"00489463"</f>
        <v>00489463</v>
      </c>
    </row>
    <row r="6153" spans="1:2" x14ac:dyDescent="0.25">
      <c r="A6153" s="4">
        <v>6148</v>
      </c>
      <c r="B6153" s="3" t="str">
        <f>"00489538"</f>
        <v>00489538</v>
      </c>
    </row>
    <row r="6154" spans="1:2" x14ac:dyDescent="0.25">
      <c r="A6154" s="4">
        <v>6149</v>
      </c>
      <c r="B6154" s="3" t="str">
        <f>"00489567"</f>
        <v>00489567</v>
      </c>
    </row>
    <row r="6155" spans="1:2" x14ac:dyDescent="0.25">
      <c r="A6155" s="4">
        <v>6150</v>
      </c>
      <c r="B6155" s="3" t="str">
        <f>"00489590"</f>
        <v>00489590</v>
      </c>
    </row>
    <row r="6156" spans="1:2" x14ac:dyDescent="0.25">
      <c r="A6156" s="4">
        <v>6151</v>
      </c>
      <c r="B6156" s="3" t="str">
        <f>"00489594"</f>
        <v>00489594</v>
      </c>
    </row>
    <row r="6157" spans="1:2" x14ac:dyDescent="0.25">
      <c r="A6157" s="4">
        <v>6152</v>
      </c>
      <c r="B6157" s="3" t="str">
        <f>"00489619"</f>
        <v>00489619</v>
      </c>
    </row>
    <row r="6158" spans="1:2" x14ac:dyDescent="0.25">
      <c r="A6158" s="4">
        <v>6153</v>
      </c>
      <c r="B6158" s="3" t="str">
        <f>"00489673"</f>
        <v>00489673</v>
      </c>
    </row>
    <row r="6159" spans="1:2" x14ac:dyDescent="0.25">
      <c r="A6159" s="4">
        <v>6154</v>
      </c>
      <c r="B6159" s="3" t="str">
        <f>"00489690"</f>
        <v>00489690</v>
      </c>
    </row>
    <row r="6160" spans="1:2" x14ac:dyDescent="0.25">
      <c r="A6160" s="4">
        <v>6155</v>
      </c>
      <c r="B6160" s="3" t="str">
        <f>"00489725"</f>
        <v>00489725</v>
      </c>
    </row>
    <row r="6161" spans="1:2" x14ac:dyDescent="0.25">
      <c r="A6161" s="4">
        <v>6156</v>
      </c>
      <c r="B6161" s="3" t="str">
        <f>"00489740"</f>
        <v>00489740</v>
      </c>
    </row>
    <row r="6162" spans="1:2" x14ac:dyDescent="0.25">
      <c r="A6162" s="4">
        <v>6157</v>
      </c>
      <c r="B6162" s="3" t="str">
        <f>"00489840"</f>
        <v>00489840</v>
      </c>
    </row>
    <row r="6163" spans="1:2" x14ac:dyDescent="0.25">
      <c r="A6163" s="4">
        <v>6158</v>
      </c>
      <c r="B6163" s="3" t="str">
        <f>"00489896"</f>
        <v>00489896</v>
      </c>
    </row>
    <row r="6164" spans="1:2" x14ac:dyDescent="0.25">
      <c r="A6164" s="4">
        <v>6159</v>
      </c>
      <c r="B6164" s="3" t="str">
        <f>"00489903"</f>
        <v>00489903</v>
      </c>
    </row>
    <row r="6165" spans="1:2" x14ac:dyDescent="0.25">
      <c r="A6165" s="4">
        <v>6160</v>
      </c>
      <c r="B6165" s="3" t="str">
        <f>"00490055"</f>
        <v>00490055</v>
      </c>
    </row>
    <row r="6166" spans="1:2" x14ac:dyDescent="0.25">
      <c r="A6166" s="4">
        <v>6161</v>
      </c>
      <c r="B6166" s="3" t="str">
        <f>"00490069"</f>
        <v>00490069</v>
      </c>
    </row>
    <row r="6167" spans="1:2" x14ac:dyDescent="0.25">
      <c r="A6167" s="4">
        <v>6162</v>
      </c>
      <c r="B6167" s="3" t="str">
        <f>"00490119"</f>
        <v>00490119</v>
      </c>
    </row>
    <row r="6168" spans="1:2" x14ac:dyDescent="0.25">
      <c r="A6168" s="4">
        <v>6163</v>
      </c>
      <c r="B6168" s="3" t="str">
        <f>"00490152"</f>
        <v>00490152</v>
      </c>
    </row>
    <row r="6169" spans="1:2" x14ac:dyDescent="0.25">
      <c r="A6169" s="4">
        <v>6164</v>
      </c>
      <c r="B6169" s="3" t="str">
        <f>"00490296"</f>
        <v>00490296</v>
      </c>
    </row>
    <row r="6170" spans="1:2" x14ac:dyDescent="0.25">
      <c r="A6170" s="4">
        <v>6165</v>
      </c>
      <c r="B6170" s="3" t="str">
        <f>"00490297"</f>
        <v>00490297</v>
      </c>
    </row>
    <row r="6171" spans="1:2" x14ac:dyDescent="0.25">
      <c r="A6171" s="4">
        <v>6166</v>
      </c>
      <c r="B6171" s="3" t="str">
        <f>"00490377"</f>
        <v>00490377</v>
      </c>
    </row>
    <row r="6172" spans="1:2" x14ac:dyDescent="0.25">
      <c r="A6172" s="4">
        <v>6167</v>
      </c>
      <c r="B6172" s="3" t="str">
        <f>"00490407"</f>
        <v>00490407</v>
      </c>
    </row>
    <row r="6173" spans="1:2" x14ac:dyDescent="0.25">
      <c r="A6173" s="4">
        <v>6168</v>
      </c>
      <c r="B6173" s="3" t="str">
        <f>"00490503"</f>
        <v>00490503</v>
      </c>
    </row>
    <row r="6174" spans="1:2" x14ac:dyDescent="0.25">
      <c r="A6174" s="4">
        <v>6169</v>
      </c>
      <c r="B6174" s="3" t="str">
        <f>"00490520"</f>
        <v>00490520</v>
      </c>
    </row>
    <row r="6175" spans="1:2" x14ac:dyDescent="0.25">
      <c r="A6175" s="4">
        <v>6170</v>
      </c>
      <c r="B6175" s="3" t="str">
        <f>"00490522"</f>
        <v>00490522</v>
      </c>
    </row>
    <row r="6176" spans="1:2" x14ac:dyDescent="0.25">
      <c r="A6176" s="4">
        <v>6171</v>
      </c>
      <c r="B6176" s="3" t="str">
        <f>"00490534"</f>
        <v>00490534</v>
      </c>
    </row>
    <row r="6177" spans="1:2" x14ac:dyDescent="0.25">
      <c r="A6177" s="4">
        <v>6172</v>
      </c>
      <c r="B6177" s="3" t="str">
        <f>"00490570"</f>
        <v>00490570</v>
      </c>
    </row>
    <row r="6178" spans="1:2" x14ac:dyDescent="0.25">
      <c r="A6178" s="4">
        <v>6173</v>
      </c>
      <c r="B6178" s="3" t="str">
        <f>"00490576"</f>
        <v>00490576</v>
      </c>
    </row>
    <row r="6179" spans="1:2" x14ac:dyDescent="0.25">
      <c r="A6179" s="4">
        <v>6174</v>
      </c>
      <c r="B6179" s="3" t="str">
        <f>"00490664"</f>
        <v>00490664</v>
      </c>
    </row>
    <row r="6180" spans="1:2" x14ac:dyDescent="0.25">
      <c r="A6180" s="4">
        <v>6175</v>
      </c>
      <c r="B6180" s="3" t="str">
        <f>"00490689"</f>
        <v>00490689</v>
      </c>
    </row>
    <row r="6181" spans="1:2" x14ac:dyDescent="0.25">
      <c r="A6181" s="4">
        <v>6176</v>
      </c>
      <c r="B6181" s="3" t="str">
        <f>"00490698"</f>
        <v>00490698</v>
      </c>
    </row>
    <row r="6182" spans="1:2" x14ac:dyDescent="0.25">
      <c r="A6182" s="4">
        <v>6177</v>
      </c>
      <c r="B6182" s="3" t="str">
        <f>"00490893"</f>
        <v>00490893</v>
      </c>
    </row>
    <row r="6183" spans="1:2" x14ac:dyDescent="0.25">
      <c r="A6183" s="4">
        <v>6178</v>
      </c>
      <c r="B6183" s="3" t="str">
        <f>"00490898"</f>
        <v>00490898</v>
      </c>
    </row>
    <row r="6184" spans="1:2" x14ac:dyDescent="0.25">
      <c r="A6184" s="4">
        <v>6179</v>
      </c>
      <c r="B6184" s="3" t="str">
        <f>"00490905"</f>
        <v>00490905</v>
      </c>
    </row>
    <row r="6185" spans="1:2" x14ac:dyDescent="0.25">
      <c r="A6185" s="4">
        <v>6180</v>
      </c>
      <c r="B6185" s="3" t="str">
        <f>"00490932"</f>
        <v>00490932</v>
      </c>
    </row>
    <row r="6186" spans="1:2" x14ac:dyDescent="0.25">
      <c r="A6186" s="4">
        <v>6181</v>
      </c>
      <c r="B6186" s="3" t="str">
        <f>"00490936"</f>
        <v>00490936</v>
      </c>
    </row>
    <row r="6187" spans="1:2" x14ac:dyDescent="0.25">
      <c r="A6187" s="4">
        <v>6182</v>
      </c>
      <c r="B6187" s="3" t="str">
        <f>"00490957"</f>
        <v>00490957</v>
      </c>
    </row>
    <row r="6188" spans="1:2" x14ac:dyDescent="0.25">
      <c r="A6188" s="4">
        <v>6183</v>
      </c>
      <c r="B6188" s="3" t="str">
        <f>"00491021"</f>
        <v>00491021</v>
      </c>
    </row>
    <row r="6189" spans="1:2" x14ac:dyDescent="0.25">
      <c r="A6189" s="4">
        <v>6184</v>
      </c>
      <c r="B6189" s="3" t="str">
        <f>"00491040"</f>
        <v>00491040</v>
      </c>
    </row>
    <row r="6190" spans="1:2" x14ac:dyDescent="0.25">
      <c r="A6190" s="4">
        <v>6185</v>
      </c>
      <c r="B6190" s="3" t="str">
        <f>"00491043"</f>
        <v>00491043</v>
      </c>
    </row>
    <row r="6191" spans="1:2" x14ac:dyDescent="0.25">
      <c r="A6191" s="4">
        <v>6186</v>
      </c>
      <c r="B6191" s="3" t="str">
        <f>"00491110"</f>
        <v>00491110</v>
      </c>
    </row>
    <row r="6192" spans="1:2" x14ac:dyDescent="0.25">
      <c r="A6192" s="4">
        <v>6187</v>
      </c>
      <c r="B6192" s="3" t="str">
        <f>"00491136"</f>
        <v>00491136</v>
      </c>
    </row>
    <row r="6193" spans="1:2" x14ac:dyDescent="0.25">
      <c r="A6193" s="4">
        <v>6188</v>
      </c>
      <c r="B6193" s="3" t="str">
        <f>"00491138"</f>
        <v>00491138</v>
      </c>
    </row>
    <row r="6194" spans="1:2" x14ac:dyDescent="0.25">
      <c r="A6194" s="4">
        <v>6189</v>
      </c>
      <c r="B6194" s="3" t="str">
        <f>"00491168"</f>
        <v>00491168</v>
      </c>
    </row>
    <row r="6195" spans="1:2" x14ac:dyDescent="0.25">
      <c r="A6195" s="4">
        <v>6190</v>
      </c>
      <c r="B6195" s="3" t="str">
        <f>"00491170"</f>
        <v>00491170</v>
      </c>
    </row>
    <row r="6196" spans="1:2" x14ac:dyDescent="0.25">
      <c r="A6196" s="4">
        <v>6191</v>
      </c>
      <c r="B6196" s="3" t="str">
        <f>"00491176"</f>
        <v>00491176</v>
      </c>
    </row>
    <row r="6197" spans="1:2" x14ac:dyDescent="0.25">
      <c r="A6197" s="4">
        <v>6192</v>
      </c>
      <c r="B6197" s="3" t="str">
        <f>"00491185"</f>
        <v>00491185</v>
      </c>
    </row>
    <row r="6198" spans="1:2" x14ac:dyDescent="0.25">
      <c r="A6198" s="4">
        <v>6193</v>
      </c>
      <c r="B6198" s="3" t="str">
        <f>"00491235"</f>
        <v>00491235</v>
      </c>
    </row>
    <row r="6199" spans="1:2" x14ac:dyDescent="0.25">
      <c r="A6199" s="4">
        <v>6194</v>
      </c>
      <c r="B6199" s="3" t="str">
        <f>"00491284"</f>
        <v>00491284</v>
      </c>
    </row>
    <row r="6200" spans="1:2" x14ac:dyDescent="0.25">
      <c r="A6200" s="4">
        <v>6195</v>
      </c>
      <c r="B6200" s="3" t="str">
        <f>"00491297"</f>
        <v>00491297</v>
      </c>
    </row>
    <row r="6201" spans="1:2" x14ac:dyDescent="0.25">
      <c r="A6201" s="4">
        <v>6196</v>
      </c>
      <c r="B6201" s="3" t="str">
        <f>"00491352"</f>
        <v>00491352</v>
      </c>
    </row>
    <row r="6202" spans="1:2" x14ac:dyDescent="0.25">
      <c r="A6202" s="4">
        <v>6197</v>
      </c>
      <c r="B6202" s="3" t="str">
        <f>"00491453"</f>
        <v>00491453</v>
      </c>
    </row>
    <row r="6203" spans="1:2" x14ac:dyDescent="0.25">
      <c r="A6203" s="4">
        <v>6198</v>
      </c>
      <c r="B6203" s="3" t="str">
        <f>"00491457"</f>
        <v>00491457</v>
      </c>
    </row>
    <row r="6204" spans="1:2" x14ac:dyDescent="0.25">
      <c r="A6204" s="4">
        <v>6199</v>
      </c>
      <c r="B6204" s="3" t="str">
        <f>"00491507"</f>
        <v>00491507</v>
      </c>
    </row>
    <row r="6205" spans="1:2" x14ac:dyDescent="0.25">
      <c r="A6205" s="4">
        <v>6200</v>
      </c>
      <c r="B6205" s="3" t="str">
        <f>"00491610"</f>
        <v>00491610</v>
      </c>
    </row>
    <row r="6206" spans="1:2" x14ac:dyDescent="0.25">
      <c r="A6206" s="4">
        <v>6201</v>
      </c>
      <c r="B6206" s="3" t="str">
        <f>"00491693"</f>
        <v>00491693</v>
      </c>
    </row>
    <row r="6207" spans="1:2" x14ac:dyDescent="0.25">
      <c r="A6207" s="4">
        <v>6202</v>
      </c>
      <c r="B6207" s="3" t="str">
        <f>"00491707"</f>
        <v>00491707</v>
      </c>
    </row>
    <row r="6208" spans="1:2" x14ac:dyDescent="0.25">
      <c r="A6208" s="4">
        <v>6203</v>
      </c>
      <c r="B6208" s="3" t="str">
        <f>"00491755"</f>
        <v>00491755</v>
      </c>
    </row>
    <row r="6209" spans="1:2" x14ac:dyDescent="0.25">
      <c r="A6209" s="4">
        <v>6204</v>
      </c>
      <c r="B6209" s="3" t="str">
        <f>"00491776"</f>
        <v>00491776</v>
      </c>
    </row>
    <row r="6210" spans="1:2" x14ac:dyDescent="0.25">
      <c r="A6210" s="4">
        <v>6205</v>
      </c>
      <c r="B6210" s="3" t="str">
        <f>"00491785"</f>
        <v>00491785</v>
      </c>
    </row>
    <row r="6211" spans="1:2" x14ac:dyDescent="0.25">
      <c r="A6211" s="4">
        <v>6206</v>
      </c>
      <c r="B6211" s="3" t="str">
        <f>"00491791"</f>
        <v>00491791</v>
      </c>
    </row>
    <row r="6212" spans="1:2" x14ac:dyDescent="0.25">
      <c r="A6212" s="4">
        <v>6207</v>
      </c>
      <c r="B6212" s="3" t="str">
        <f>"00491948"</f>
        <v>00491948</v>
      </c>
    </row>
    <row r="6213" spans="1:2" x14ac:dyDescent="0.25">
      <c r="A6213" s="4">
        <v>6208</v>
      </c>
      <c r="B6213" s="3" t="str">
        <f>"00492107"</f>
        <v>00492107</v>
      </c>
    </row>
    <row r="6214" spans="1:2" x14ac:dyDescent="0.25">
      <c r="A6214" s="4">
        <v>6209</v>
      </c>
      <c r="B6214" s="3" t="str">
        <f>"00492119"</f>
        <v>00492119</v>
      </c>
    </row>
    <row r="6215" spans="1:2" x14ac:dyDescent="0.25">
      <c r="A6215" s="4">
        <v>6210</v>
      </c>
      <c r="B6215" s="3" t="str">
        <f>"00492170"</f>
        <v>00492170</v>
      </c>
    </row>
    <row r="6216" spans="1:2" x14ac:dyDescent="0.25">
      <c r="A6216" s="4">
        <v>6211</v>
      </c>
      <c r="B6216" s="3" t="str">
        <f>"00492177"</f>
        <v>00492177</v>
      </c>
    </row>
    <row r="6217" spans="1:2" x14ac:dyDescent="0.25">
      <c r="A6217" s="4">
        <v>6212</v>
      </c>
      <c r="B6217" s="3" t="str">
        <f>"00492201"</f>
        <v>00492201</v>
      </c>
    </row>
    <row r="6218" spans="1:2" x14ac:dyDescent="0.25">
      <c r="A6218" s="4">
        <v>6213</v>
      </c>
      <c r="B6218" s="3" t="str">
        <f>"00492226"</f>
        <v>00492226</v>
      </c>
    </row>
    <row r="6219" spans="1:2" x14ac:dyDescent="0.25">
      <c r="A6219" s="4">
        <v>6214</v>
      </c>
      <c r="B6219" s="3" t="str">
        <f>"00492668"</f>
        <v>00492668</v>
      </c>
    </row>
    <row r="6220" spans="1:2" x14ac:dyDescent="0.25">
      <c r="A6220" s="4">
        <v>6215</v>
      </c>
      <c r="B6220" s="3" t="str">
        <f>"00492669"</f>
        <v>00492669</v>
      </c>
    </row>
    <row r="6221" spans="1:2" x14ac:dyDescent="0.25">
      <c r="A6221" s="4">
        <v>6216</v>
      </c>
      <c r="B6221" s="3" t="str">
        <f>"00492671"</f>
        <v>00492671</v>
      </c>
    </row>
    <row r="6222" spans="1:2" x14ac:dyDescent="0.25">
      <c r="A6222" s="4">
        <v>6217</v>
      </c>
      <c r="B6222" s="3" t="str">
        <f>"00492718"</f>
        <v>00492718</v>
      </c>
    </row>
    <row r="6223" spans="1:2" x14ac:dyDescent="0.25">
      <c r="A6223" s="4">
        <v>6218</v>
      </c>
      <c r="B6223" s="3" t="str">
        <f>"00492741"</f>
        <v>00492741</v>
      </c>
    </row>
    <row r="6224" spans="1:2" x14ac:dyDescent="0.25">
      <c r="A6224" s="4">
        <v>6219</v>
      </c>
      <c r="B6224" s="3" t="str">
        <f>"00492760"</f>
        <v>00492760</v>
      </c>
    </row>
    <row r="6225" spans="1:2" x14ac:dyDescent="0.25">
      <c r="A6225" s="4">
        <v>6220</v>
      </c>
      <c r="B6225" s="3" t="str">
        <f>"00492783"</f>
        <v>00492783</v>
      </c>
    </row>
    <row r="6226" spans="1:2" x14ac:dyDescent="0.25">
      <c r="A6226" s="4">
        <v>6221</v>
      </c>
      <c r="B6226" s="3" t="str">
        <f>"00492862"</f>
        <v>00492862</v>
      </c>
    </row>
    <row r="6227" spans="1:2" x14ac:dyDescent="0.25">
      <c r="A6227" s="4">
        <v>6222</v>
      </c>
      <c r="B6227" s="3" t="str">
        <f>"00492870"</f>
        <v>00492870</v>
      </c>
    </row>
    <row r="6228" spans="1:2" x14ac:dyDescent="0.25">
      <c r="A6228" s="4">
        <v>6223</v>
      </c>
      <c r="B6228" s="3" t="str">
        <f>"00492906"</f>
        <v>00492906</v>
      </c>
    </row>
    <row r="6229" spans="1:2" x14ac:dyDescent="0.25">
      <c r="A6229" s="4">
        <v>6224</v>
      </c>
      <c r="B6229" s="3" t="str">
        <f>"00492973"</f>
        <v>00492973</v>
      </c>
    </row>
    <row r="6230" spans="1:2" x14ac:dyDescent="0.25">
      <c r="A6230" s="4">
        <v>6225</v>
      </c>
      <c r="B6230" s="3" t="str">
        <f>"00493077"</f>
        <v>00493077</v>
      </c>
    </row>
    <row r="6231" spans="1:2" x14ac:dyDescent="0.25">
      <c r="A6231" s="4">
        <v>6226</v>
      </c>
      <c r="B6231" s="3" t="str">
        <f>"00493179"</f>
        <v>00493179</v>
      </c>
    </row>
    <row r="6232" spans="1:2" x14ac:dyDescent="0.25">
      <c r="A6232" s="4">
        <v>6227</v>
      </c>
      <c r="B6232" s="3" t="str">
        <f>"00493264"</f>
        <v>00493264</v>
      </c>
    </row>
    <row r="6233" spans="1:2" x14ac:dyDescent="0.25">
      <c r="A6233" s="4">
        <v>6228</v>
      </c>
      <c r="B6233" s="3" t="str">
        <f>"00493269"</f>
        <v>00493269</v>
      </c>
    </row>
    <row r="6234" spans="1:2" x14ac:dyDescent="0.25">
      <c r="A6234" s="4">
        <v>6229</v>
      </c>
      <c r="B6234" s="3" t="str">
        <f>"00493384"</f>
        <v>00493384</v>
      </c>
    </row>
    <row r="6235" spans="1:2" x14ac:dyDescent="0.25">
      <c r="A6235" s="4">
        <v>6230</v>
      </c>
      <c r="B6235" s="3" t="str">
        <f>"00493395"</f>
        <v>00493395</v>
      </c>
    </row>
    <row r="6236" spans="1:2" x14ac:dyDescent="0.25">
      <c r="A6236" s="4">
        <v>6231</v>
      </c>
      <c r="B6236" s="3" t="str">
        <f>"00493402"</f>
        <v>00493402</v>
      </c>
    </row>
    <row r="6237" spans="1:2" x14ac:dyDescent="0.25">
      <c r="A6237" s="4">
        <v>6232</v>
      </c>
      <c r="B6237" s="3" t="str">
        <f>"00493501"</f>
        <v>00493501</v>
      </c>
    </row>
    <row r="6238" spans="1:2" x14ac:dyDescent="0.25">
      <c r="A6238" s="4">
        <v>6233</v>
      </c>
      <c r="B6238" s="3" t="str">
        <f>"00493724"</f>
        <v>00493724</v>
      </c>
    </row>
    <row r="6239" spans="1:2" x14ac:dyDescent="0.25">
      <c r="A6239" s="4">
        <v>6234</v>
      </c>
      <c r="B6239" s="3" t="str">
        <f>"00493746"</f>
        <v>00493746</v>
      </c>
    </row>
    <row r="6240" spans="1:2" x14ac:dyDescent="0.25">
      <c r="A6240" s="4">
        <v>6235</v>
      </c>
      <c r="B6240" s="3" t="str">
        <f>"00493999"</f>
        <v>00493999</v>
      </c>
    </row>
    <row r="6241" spans="1:2" x14ac:dyDescent="0.25">
      <c r="A6241" s="4">
        <v>6236</v>
      </c>
      <c r="B6241" s="3" t="str">
        <f>"00494014"</f>
        <v>00494014</v>
      </c>
    </row>
    <row r="6242" spans="1:2" x14ac:dyDescent="0.25">
      <c r="A6242" s="4">
        <v>6237</v>
      </c>
      <c r="B6242" s="3" t="str">
        <f>"00494046"</f>
        <v>00494046</v>
      </c>
    </row>
    <row r="6243" spans="1:2" x14ac:dyDescent="0.25">
      <c r="A6243" s="4">
        <v>6238</v>
      </c>
      <c r="B6243" s="3" t="str">
        <f>"00494129"</f>
        <v>00494129</v>
      </c>
    </row>
    <row r="6244" spans="1:2" x14ac:dyDescent="0.25">
      <c r="A6244" s="4">
        <v>6239</v>
      </c>
      <c r="B6244" s="3" t="str">
        <f>"00494226"</f>
        <v>00494226</v>
      </c>
    </row>
    <row r="6245" spans="1:2" x14ac:dyDescent="0.25">
      <c r="A6245" s="4">
        <v>6240</v>
      </c>
      <c r="B6245" s="3" t="str">
        <f>"00494446"</f>
        <v>00494446</v>
      </c>
    </row>
    <row r="6246" spans="1:2" x14ac:dyDescent="0.25">
      <c r="A6246" s="4">
        <v>6241</v>
      </c>
      <c r="B6246" s="3" t="str">
        <f>"00494507"</f>
        <v>00494507</v>
      </c>
    </row>
    <row r="6247" spans="1:2" x14ac:dyDescent="0.25">
      <c r="A6247" s="4">
        <v>6242</v>
      </c>
      <c r="B6247" s="3" t="str">
        <f>"00494514"</f>
        <v>00494514</v>
      </c>
    </row>
    <row r="6248" spans="1:2" x14ac:dyDescent="0.25">
      <c r="A6248" s="4">
        <v>6243</v>
      </c>
      <c r="B6248" s="3" t="str">
        <f>"00494566"</f>
        <v>00494566</v>
      </c>
    </row>
    <row r="6249" spans="1:2" x14ac:dyDescent="0.25">
      <c r="A6249" s="4">
        <v>6244</v>
      </c>
      <c r="B6249" s="3" t="str">
        <f>"00494611"</f>
        <v>00494611</v>
      </c>
    </row>
    <row r="6250" spans="1:2" x14ac:dyDescent="0.25">
      <c r="A6250" s="4">
        <v>6245</v>
      </c>
      <c r="B6250" s="3" t="str">
        <f>"00494716"</f>
        <v>00494716</v>
      </c>
    </row>
    <row r="6251" spans="1:2" x14ac:dyDescent="0.25">
      <c r="A6251" s="4">
        <v>6246</v>
      </c>
      <c r="B6251" s="3" t="str">
        <f>"00494806"</f>
        <v>00494806</v>
      </c>
    </row>
    <row r="6252" spans="1:2" x14ac:dyDescent="0.25">
      <c r="A6252" s="4">
        <v>6247</v>
      </c>
      <c r="B6252" s="3" t="str">
        <f>"00494837"</f>
        <v>00494837</v>
      </c>
    </row>
    <row r="6253" spans="1:2" x14ac:dyDescent="0.25">
      <c r="A6253" s="4">
        <v>6248</v>
      </c>
      <c r="B6253" s="3" t="str">
        <f>"00494844"</f>
        <v>00494844</v>
      </c>
    </row>
    <row r="6254" spans="1:2" x14ac:dyDescent="0.25">
      <c r="A6254" s="4">
        <v>6249</v>
      </c>
      <c r="B6254" s="3" t="str">
        <f>"00494879"</f>
        <v>00494879</v>
      </c>
    </row>
    <row r="6255" spans="1:2" x14ac:dyDescent="0.25">
      <c r="A6255" s="4">
        <v>6250</v>
      </c>
      <c r="B6255" s="3" t="str">
        <f>"00494973"</f>
        <v>00494973</v>
      </c>
    </row>
    <row r="6256" spans="1:2" x14ac:dyDescent="0.25">
      <c r="A6256" s="4">
        <v>6251</v>
      </c>
      <c r="B6256" s="3" t="str">
        <f>"00495002"</f>
        <v>00495002</v>
      </c>
    </row>
    <row r="6257" spans="1:2" x14ac:dyDescent="0.25">
      <c r="A6257" s="4">
        <v>6252</v>
      </c>
      <c r="B6257" s="3" t="str">
        <f>"00495168"</f>
        <v>00495168</v>
      </c>
    </row>
    <row r="6258" spans="1:2" x14ac:dyDescent="0.25">
      <c r="A6258" s="4">
        <v>6253</v>
      </c>
      <c r="B6258" s="3" t="str">
        <f>"00495442"</f>
        <v>00495442</v>
      </c>
    </row>
    <row r="6259" spans="1:2" x14ac:dyDescent="0.25">
      <c r="A6259" s="4">
        <v>6254</v>
      </c>
      <c r="B6259" s="3" t="str">
        <f>"00495457"</f>
        <v>00495457</v>
      </c>
    </row>
    <row r="6260" spans="1:2" x14ac:dyDescent="0.25">
      <c r="A6260" s="4">
        <v>6255</v>
      </c>
      <c r="B6260" s="3" t="str">
        <f>"00495519"</f>
        <v>00495519</v>
      </c>
    </row>
    <row r="6261" spans="1:2" x14ac:dyDescent="0.25">
      <c r="A6261" s="4">
        <v>6256</v>
      </c>
      <c r="B6261" s="3" t="str">
        <f>"00495593"</f>
        <v>00495593</v>
      </c>
    </row>
    <row r="6262" spans="1:2" x14ac:dyDescent="0.25">
      <c r="A6262" s="4">
        <v>6257</v>
      </c>
      <c r="B6262" s="3" t="str">
        <f>"00495604"</f>
        <v>00495604</v>
      </c>
    </row>
    <row r="6263" spans="1:2" x14ac:dyDescent="0.25">
      <c r="A6263" s="4">
        <v>6258</v>
      </c>
      <c r="B6263" s="3" t="str">
        <f>"00495616"</f>
        <v>00495616</v>
      </c>
    </row>
    <row r="6264" spans="1:2" x14ac:dyDescent="0.25">
      <c r="A6264" s="4">
        <v>6259</v>
      </c>
      <c r="B6264" s="3" t="str">
        <f>"00495668"</f>
        <v>00495668</v>
      </c>
    </row>
    <row r="6265" spans="1:2" x14ac:dyDescent="0.25">
      <c r="A6265" s="4">
        <v>6260</v>
      </c>
      <c r="B6265" s="3" t="str">
        <f>"00495702"</f>
        <v>00495702</v>
      </c>
    </row>
    <row r="6266" spans="1:2" x14ac:dyDescent="0.25">
      <c r="A6266" s="4">
        <v>6261</v>
      </c>
      <c r="B6266" s="3" t="str">
        <f>"00495807"</f>
        <v>00495807</v>
      </c>
    </row>
    <row r="6267" spans="1:2" x14ac:dyDescent="0.25">
      <c r="A6267" s="4">
        <v>6262</v>
      </c>
      <c r="B6267" s="3" t="str">
        <f>"00495820"</f>
        <v>00495820</v>
      </c>
    </row>
    <row r="6268" spans="1:2" x14ac:dyDescent="0.25">
      <c r="A6268" s="4">
        <v>6263</v>
      </c>
      <c r="B6268" s="3" t="str">
        <f>"00495992"</f>
        <v>00495992</v>
      </c>
    </row>
    <row r="6269" spans="1:2" x14ac:dyDescent="0.25">
      <c r="A6269" s="4">
        <v>6264</v>
      </c>
      <c r="B6269" s="3" t="str">
        <f>"00496012"</f>
        <v>00496012</v>
      </c>
    </row>
    <row r="6270" spans="1:2" x14ac:dyDescent="0.25">
      <c r="A6270" s="4">
        <v>6265</v>
      </c>
      <c r="B6270" s="3" t="str">
        <f>"00496020"</f>
        <v>00496020</v>
      </c>
    </row>
    <row r="6271" spans="1:2" x14ac:dyDescent="0.25">
      <c r="A6271" s="4">
        <v>6266</v>
      </c>
      <c r="B6271" s="3" t="str">
        <f>"00496040"</f>
        <v>00496040</v>
      </c>
    </row>
    <row r="6272" spans="1:2" x14ac:dyDescent="0.25">
      <c r="A6272" s="4">
        <v>6267</v>
      </c>
      <c r="B6272" s="3" t="str">
        <f>"00496075"</f>
        <v>00496075</v>
      </c>
    </row>
    <row r="6273" spans="1:2" x14ac:dyDescent="0.25">
      <c r="A6273" s="4">
        <v>6268</v>
      </c>
      <c r="B6273" s="3" t="str">
        <f>"00496098"</f>
        <v>00496098</v>
      </c>
    </row>
    <row r="6274" spans="1:2" x14ac:dyDescent="0.25">
      <c r="A6274" s="4">
        <v>6269</v>
      </c>
      <c r="B6274" s="3" t="str">
        <f>"00496113"</f>
        <v>00496113</v>
      </c>
    </row>
    <row r="6275" spans="1:2" x14ac:dyDescent="0.25">
      <c r="A6275" s="4">
        <v>6270</v>
      </c>
      <c r="B6275" s="3" t="str">
        <f>"00496132"</f>
        <v>00496132</v>
      </c>
    </row>
    <row r="6276" spans="1:2" x14ac:dyDescent="0.25">
      <c r="A6276" s="4">
        <v>6271</v>
      </c>
      <c r="B6276" s="3" t="str">
        <f>"00496141"</f>
        <v>00496141</v>
      </c>
    </row>
    <row r="6277" spans="1:2" x14ac:dyDescent="0.25">
      <c r="A6277" s="4">
        <v>6272</v>
      </c>
      <c r="B6277" s="3" t="str">
        <f>"00496194"</f>
        <v>00496194</v>
      </c>
    </row>
    <row r="6278" spans="1:2" x14ac:dyDescent="0.25">
      <c r="A6278" s="4">
        <v>6273</v>
      </c>
      <c r="B6278" s="3" t="str">
        <f>"00496303"</f>
        <v>00496303</v>
      </c>
    </row>
    <row r="6279" spans="1:2" x14ac:dyDescent="0.25">
      <c r="A6279" s="4">
        <v>6274</v>
      </c>
      <c r="B6279" s="3" t="str">
        <f>"00496361"</f>
        <v>00496361</v>
      </c>
    </row>
    <row r="6280" spans="1:2" x14ac:dyDescent="0.25">
      <c r="A6280" s="4">
        <v>6275</v>
      </c>
      <c r="B6280" s="3" t="str">
        <f>"00496372"</f>
        <v>00496372</v>
      </c>
    </row>
    <row r="6281" spans="1:2" x14ac:dyDescent="0.25">
      <c r="A6281" s="4">
        <v>6276</v>
      </c>
      <c r="B6281" s="3" t="str">
        <f>"00496379"</f>
        <v>00496379</v>
      </c>
    </row>
    <row r="6282" spans="1:2" x14ac:dyDescent="0.25">
      <c r="A6282" s="4">
        <v>6277</v>
      </c>
      <c r="B6282" s="3" t="str">
        <f>"00496456"</f>
        <v>00496456</v>
      </c>
    </row>
    <row r="6283" spans="1:2" x14ac:dyDescent="0.25">
      <c r="A6283" s="4">
        <v>6278</v>
      </c>
      <c r="B6283" s="3" t="str">
        <f>"00496495"</f>
        <v>00496495</v>
      </c>
    </row>
    <row r="6284" spans="1:2" x14ac:dyDescent="0.25">
      <c r="A6284" s="4">
        <v>6279</v>
      </c>
      <c r="B6284" s="3" t="str">
        <f>"00496510"</f>
        <v>00496510</v>
      </c>
    </row>
    <row r="6285" spans="1:2" x14ac:dyDescent="0.25">
      <c r="A6285" s="4">
        <v>6280</v>
      </c>
      <c r="B6285" s="3" t="str">
        <f>"00496688"</f>
        <v>00496688</v>
      </c>
    </row>
    <row r="6286" spans="1:2" x14ac:dyDescent="0.25">
      <c r="A6286" s="4">
        <v>6281</v>
      </c>
      <c r="B6286" s="3" t="str">
        <f>"00496700"</f>
        <v>00496700</v>
      </c>
    </row>
    <row r="6287" spans="1:2" x14ac:dyDescent="0.25">
      <c r="A6287" s="4">
        <v>6282</v>
      </c>
      <c r="B6287" s="3" t="str">
        <f>"00496742"</f>
        <v>00496742</v>
      </c>
    </row>
    <row r="6288" spans="1:2" x14ac:dyDescent="0.25">
      <c r="A6288" s="4">
        <v>6283</v>
      </c>
      <c r="B6288" s="3" t="str">
        <f>"00496760"</f>
        <v>00496760</v>
      </c>
    </row>
    <row r="6289" spans="1:2" x14ac:dyDescent="0.25">
      <c r="A6289" s="4">
        <v>6284</v>
      </c>
      <c r="B6289" s="3" t="str">
        <f>"00496793"</f>
        <v>00496793</v>
      </c>
    </row>
    <row r="6290" spans="1:2" x14ac:dyDescent="0.25">
      <c r="A6290" s="4">
        <v>6285</v>
      </c>
      <c r="B6290" s="3" t="str">
        <f>"00496796"</f>
        <v>00496796</v>
      </c>
    </row>
    <row r="6291" spans="1:2" x14ac:dyDescent="0.25">
      <c r="A6291" s="4">
        <v>6286</v>
      </c>
      <c r="B6291" s="3" t="str">
        <f>"00496807"</f>
        <v>00496807</v>
      </c>
    </row>
    <row r="6292" spans="1:2" x14ac:dyDescent="0.25">
      <c r="A6292" s="4">
        <v>6287</v>
      </c>
      <c r="B6292" s="3" t="str">
        <f>"00496817"</f>
        <v>00496817</v>
      </c>
    </row>
    <row r="6293" spans="1:2" x14ac:dyDescent="0.25">
      <c r="A6293" s="4">
        <v>6288</v>
      </c>
      <c r="B6293" s="3" t="str">
        <f>"00496826"</f>
        <v>00496826</v>
      </c>
    </row>
    <row r="6294" spans="1:2" x14ac:dyDescent="0.25">
      <c r="A6294" s="4">
        <v>6289</v>
      </c>
      <c r="B6294" s="3" t="str">
        <f>"00496857"</f>
        <v>00496857</v>
      </c>
    </row>
    <row r="6295" spans="1:2" x14ac:dyDescent="0.25">
      <c r="A6295" s="4">
        <v>6290</v>
      </c>
      <c r="B6295" s="3" t="str">
        <f>"00496882"</f>
        <v>00496882</v>
      </c>
    </row>
    <row r="6296" spans="1:2" x14ac:dyDescent="0.25">
      <c r="A6296" s="4">
        <v>6291</v>
      </c>
      <c r="B6296" s="3" t="str">
        <f>"00496883"</f>
        <v>00496883</v>
      </c>
    </row>
    <row r="6297" spans="1:2" x14ac:dyDescent="0.25">
      <c r="A6297" s="4">
        <v>6292</v>
      </c>
      <c r="B6297" s="3" t="str">
        <f>"00496912"</f>
        <v>00496912</v>
      </c>
    </row>
    <row r="6298" spans="1:2" x14ac:dyDescent="0.25">
      <c r="A6298" s="4">
        <v>6293</v>
      </c>
      <c r="B6298" s="3" t="str">
        <f>"00496947"</f>
        <v>00496947</v>
      </c>
    </row>
    <row r="6299" spans="1:2" x14ac:dyDescent="0.25">
      <c r="A6299" s="4">
        <v>6294</v>
      </c>
      <c r="B6299" s="3" t="str">
        <f>"00496994"</f>
        <v>00496994</v>
      </c>
    </row>
    <row r="6300" spans="1:2" x14ac:dyDescent="0.25">
      <c r="A6300" s="4">
        <v>6295</v>
      </c>
      <c r="B6300" s="3" t="str">
        <f>"00497024"</f>
        <v>00497024</v>
      </c>
    </row>
    <row r="6301" spans="1:2" x14ac:dyDescent="0.25">
      <c r="A6301" s="4">
        <v>6296</v>
      </c>
      <c r="B6301" s="3" t="str">
        <f>"00497067"</f>
        <v>00497067</v>
      </c>
    </row>
    <row r="6302" spans="1:2" x14ac:dyDescent="0.25">
      <c r="A6302" s="4">
        <v>6297</v>
      </c>
      <c r="B6302" s="3" t="str">
        <f>"00497113"</f>
        <v>00497113</v>
      </c>
    </row>
    <row r="6303" spans="1:2" x14ac:dyDescent="0.25">
      <c r="A6303" s="4">
        <v>6298</v>
      </c>
      <c r="B6303" s="3" t="str">
        <f>"00497163"</f>
        <v>00497163</v>
      </c>
    </row>
    <row r="6304" spans="1:2" x14ac:dyDescent="0.25">
      <c r="A6304" s="4">
        <v>6299</v>
      </c>
      <c r="B6304" s="3" t="str">
        <f>"00497172"</f>
        <v>00497172</v>
      </c>
    </row>
    <row r="6305" spans="1:2" x14ac:dyDescent="0.25">
      <c r="A6305" s="4">
        <v>6300</v>
      </c>
      <c r="B6305" s="3" t="str">
        <f>"00497199"</f>
        <v>00497199</v>
      </c>
    </row>
    <row r="6306" spans="1:2" x14ac:dyDescent="0.25">
      <c r="A6306" s="4">
        <v>6301</v>
      </c>
      <c r="B6306" s="3" t="str">
        <f>"00497214"</f>
        <v>00497214</v>
      </c>
    </row>
    <row r="6307" spans="1:2" x14ac:dyDescent="0.25">
      <c r="A6307" s="4">
        <v>6302</v>
      </c>
      <c r="B6307" s="3" t="str">
        <f>"00497325"</f>
        <v>00497325</v>
      </c>
    </row>
    <row r="6308" spans="1:2" x14ac:dyDescent="0.25">
      <c r="A6308" s="4">
        <v>6303</v>
      </c>
      <c r="B6308" s="3" t="str">
        <f>"00497430"</f>
        <v>00497430</v>
      </c>
    </row>
    <row r="6309" spans="1:2" x14ac:dyDescent="0.25">
      <c r="A6309" s="4">
        <v>6304</v>
      </c>
      <c r="B6309" s="3" t="str">
        <f>"00497458"</f>
        <v>00497458</v>
      </c>
    </row>
    <row r="6310" spans="1:2" x14ac:dyDescent="0.25">
      <c r="A6310" s="4">
        <v>6305</v>
      </c>
      <c r="B6310" s="3" t="str">
        <f>"00497470"</f>
        <v>00497470</v>
      </c>
    </row>
    <row r="6311" spans="1:2" x14ac:dyDescent="0.25">
      <c r="A6311" s="4">
        <v>6306</v>
      </c>
      <c r="B6311" s="3" t="str">
        <f>"00497488"</f>
        <v>00497488</v>
      </c>
    </row>
    <row r="6312" spans="1:2" x14ac:dyDescent="0.25">
      <c r="A6312" s="4">
        <v>6307</v>
      </c>
      <c r="B6312" s="3" t="str">
        <f>"00497516"</f>
        <v>00497516</v>
      </c>
    </row>
    <row r="6313" spans="1:2" x14ac:dyDescent="0.25">
      <c r="A6313" s="4">
        <v>6308</v>
      </c>
      <c r="B6313" s="3" t="str">
        <f>"00497548"</f>
        <v>00497548</v>
      </c>
    </row>
    <row r="6314" spans="1:2" x14ac:dyDescent="0.25">
      <c r="A6314" s="4">
        <v>6309</v>
      </c>
      <c r="B6314" s="3" t="str">
        <f>"00497609"</f>
        <v>00497609</v>
      </c>
    </row>
    <row r="6315" spans="1:2" x14ac:dyDescent="0.25">
      <c r="A6315" s="4">
        <v>6310</v>
      </c>
      <c r="B6315" s="3" t="str">
        <f>"00497617"</f>
        <v>00497617</v>
      </c>
    </row>
    <row r="6316" spans="1:2" x14ac:dyDescent="0.25">
      <c r="A6316" s="4">
        <v>6311</v>
      </c>
      <c r="B6316" s="3" t="str">
        <f>"00497660"</f>
        <v>00497660</v>
      </c>
    </row>
    <row r="6317" spans="1:2" x14ac:dyDescent="0.25">
      <c r="A6317" s="4">
        <v>6312</v>
      </c>
      <c r="B6317" s="3" t="str">
        <f>"00497661"</f>
        <v>00497661</v>
      </c>
    </row>
    <row r="6318" spans="1:2" x14ac:dyDescent="0.25">
      <c r="A6318" s="4">
        <v>6313</v>
      </c>
      <c r="B6318" s="3" t="str">
        <f>"00497674"</f>
        <v>00497674</v>
      </c>
    </row>
    <row r="6319" spans="1:2" x14ac:dyDescent="0.25">
      <c r="A6319" s="4">
        <v>6314</v>
      </c>
      <c r="B6319" s="3" t="str">
        <f>"00497682"</f>
        <v>00497682</v>
      </c>
    </row>
    <row r="6320" spans="1:2" x14ac:dyDescent="0.25">
      <c r="A6320" s="4">
        <v>6315</v>
      </c>
      <c r="B6320" s="3" t="str">
        <f>"00497713"</f>
        <v>00497713</v>
      </c>
    </row>
    <row r="6321" spans="1:2" x14ac:dyDescent="0.25">
      <c r="A6321" s="4">
        <v>6316</v>
      </c>
      <c r="B6321" s="3" t="str">
        <f>"00497737"</f>
        <v>00497737</v>
      </c>
    </row>
    <row r="6322" spans="1:2" x14ac:dyDescent="0.25">
      <c r="A6322" s="4">
        <v>6317</v>
      </c>
      <c r="B6322" s="3" t="str">
        <f>"00497770"</f>
        <v>00497770</v>
      </c>
    </row>
    <row r="6323" spans="1:2" x14ac:dyDescent="0.25">
      <c r="A6323" s="4">
        <v>6318</v>
      </c>
      <c r="B6323" s="3" t="str">
        <f>"00497774"</f>
        <v>00497774</v>
      </c>
    </row>
    <row r="6324" spans="1:2" x14ac:dyDescent="0.25">
      <c r="A6324" s="4">
        <v>6319</v>
      </c>
      <c r="B6324" s="3" t="str">
        <f>"00497788"</f>
        <v>00497788</v>
      </c>
    </row>
    <row r="6325" spans="1:2" x14ac:dyDescent="0.25">
      <c r="A6325" s="4">
        <v>6320</v>
      </c>
      <c r="B6325" s="3" t="str">
        <f>"00497861"</f>
        <v>00497861</v>
      </c>
    </row>
    <row r="6326" spans="1:2" x14ac:dyDescent="0.25">
      <c r="A6326" s="4">
        <v>6321</v>
      </c>
      <c r="B6326" s="3" t="str">
        <f>"00497967"</f>
        <v>00497967</v>
      </c>
    </row>
    <row r="6327" spans="1:2" x14ac:dyDescent="0.25">
      <c r="A6327" s="4">
        <v>6322</v>
      </c>
      <c r="B6327" s="3" t="str">
        <f>"00497983"</f>
        <v>00497983</v>
      </c>
    </row>
    <row r="6328" spans="1:2" x14ac:dyDescent="0.25">
      <c r="A6328" s="4">
        <v>6323</v>
      </c>
      <c r="B6328" s="3" t="str">
        <f>"00497990"</f>
        <v>00497990</v>
      </c>
    </row>
    <row r="6329" spans="1:2" x14ac:dyDescent="0.25">
      <c r="A6329" s="4">
        <v>6324</v>
      </c>
      <c r="B6329" s="3" t="str">
        <f>"00498004"</f>
        <v>00498004</v>
      </c>
    </row>
    <row r="6330" spans="1:2" x14ac:dyDescent="0.25">
      <c r="A6330" s="4">
        <v>6325</v>
      </c>
      <c r="B6330" s="3" t="str">
        <f>"00498058"</f>
        <v>00498058</v>
      </c>
    </row>
    <row r="6331" spans="1:2" x14ac:dyDescent="0.25">
      <c r="A6331" s="4">
        <v>6326</v>
      </c>
      <c r="B6331" s="3" t="str">
        <f>"00498086"</f>
        <v>00498086</v>
      </c>
    </row>
    <row r="6332" spans="1:2" x14ac:dyDescent="0.25">
      <c r="A6332" s="4">
        <v>6327</v>
      </c>
      <c r="B6332" s="3" t="str">
        <f>"00498147"</f>
        <v>00498147</v>
      </c>
    </row>
    <row r="6333" spans="1:2" x14ac:dyDescent="0.25">
      <c r="A6333" s="4">
        <v>6328</v>
      </c>
      <c r="B6333" s="3" t="str">
        <f>"00498155"</f>
        <v>00498155</v>
      </c>
    </row>
    <row r="6334" spans="1:2" x14ac:dyDescent="0.25">
      <c r="A6334" s="4">
        <v>6329</v>
      </c>
      <c r="B6334" s="3" t="str">
        <f>"00498168"</f>
        <v>00498168</v>
      </c>
    </row>
    <row r="6335" spans="1:2" x14ac:dyDescent="0.25">
      <c r="A6335" s="4">
        <v>6330</v>
      </c>
      <c r="B6335" s="3" t="str">
        <f>"00498183"</f>
        <v>00498183</v>
      </c>
    </row>
    <row r="6336" spans="1:2" x14ac:dyDescent="0.25">
      <c r="A6336" s="4">
        <v>6331</v>
      </c>
      <c r="B6336" s="3" t="str">
        <f>"00498202"</f>
        <v>00498202</v>
      </c>
    </row>
    <row r="6337" spans="1:2" x14ac:dyDescent="0.25">
      <c r="A6337" s="4">
        <v>6332</v>
      </c>
      <c r="B6337" s="3" t="str">
        <f>"00498250"</f>
        <v>00498250</v>
      </c>
    </row>
    <row r="6338" spans="1:2" x14ac:dyDescent="0.25">
      <c r="A6338" s="4">
        <v>6333</v>
      </c>
      <c r="B6338" s="3" t="str">
        <f>"00498303"</f>
        <v>00498303</v>
      </c>
    </row>
    <row r="6339" spans="1:2" x14ac:dyDescent="0.25">
      <c r="A6339" s="4">
        <v>6334</v>
      </c>
      <c r="B6339" s="3" t="str">
        <f>"00498319"</f>
        <v>00498319</v>
      </c>
    </row>
    <row r="6340" spans="1:2" x14ac:dyDescent="0.25">
      <c r="A6340" s="4">
        <v>6335</v>
      </c>
      <c r="B6340" s="3" t="str">
        <f>"00498360"</f>
        <v>00498360</v>
      </c>
    </row>
    <row r="6341" spans="1:2" x14ac:dyDescent="0.25">
      <c r="A6341" s="4">
        <v>6336</v>
      </c>
      <c r="B6341" s="3" t="str">
        <f>"00498367"</f>
        <v>00498367</v>
      </c>
    </row>
    <row r="6342" spans="1:2" x14ac:dyDescent="0.25">
      <c r="A6342" s="4">
        <v>6337</v>
      </c>
      <c r="B6342" s="3" t="str">
        <f>"00498376"</f>
        <v>00498376</v>
      </c>
    </row>
    <row r="6343" spans="1:2" x14ac:dyDescent="0.25">
      <c r="A6343" s="4">
        <v>6338</v>
      </c>
      <c r="B6343" s="3" t="str">
        <f>"00498538"</f>
        <v>00498538</v>
      </c>
    </row>
    <row r="6344" spans="1:2" x14ac:dyDescent="0.25">
      <c r="A6344" s="4">
        <v>6339</v>
      </c>
      <c r="B6344" s="3" t="str">
        <f>"00498608"</f>
        <v>00498608</v>
      </c>
    </row>
    <row r="6345" spans="1:2" x14ac:dyDescent="0.25">
      <c r="A6345" s="4">
        <v>6340</v>
      </c>
      <c r="B6345" s="3" t="str">
        <f>"00498622"</f>
        <v>00498622</v>
      </c>
    </row>
    <row r="6346" spans="1:2" x14ac:dyDescent="0.25">
      <c r="A6346" s="4">
        <v>6341</v>
      </c>
      <c r="B6346" s="3" t="str">
        <f>"00498658"</f>
        <v>00498658</v>
      </c>
    </row>
    <row r="6347" spans="1:2" x14ac:dyDescent="0.25">
      <c r="A6347" s="4">
        <v>6342</v>
      </c>
      <c r="B6347" s="3" t="str">
        <f>"00498675"</f>
        <v>00498675</v>
      </c>
    </row>
    <row r="6348" spans="1:2" x14ac:dyDescent="0.25">
      <c r="A6348" s="4">
        <v>6343</v>
      </c>
      <c r="B6348" s="3" t="str">
        <f>"00498739"</f>
        <v>00498739</v>
      </c>
    </row>
    <row r="6349" spans="1:2" x14ac:dyDescent="0.25">
      <c r="A6349" s="4">
        <v>6344</v>
      </c>
      <c r="B6349" s="3" t="str">
        <f>"00498763"</f>
        <v>00498763</v>
      </c>
    </row>
    <row r="6350" spans="1:2" x14ac:dyDescent="0.25">
      <c r="A6350" s="4">
        <v>6345</v>
      </c>
      <c r="B6350" s="3" t="str">
        <f>"00498971"</f>
        <v>00498971</v>
      </c>
    </row>
    <row r="6351" spans="1:2" x14ac:dyDescent="0.25">
      <c r="A6351" s="4">
        <v>6346</v>
      </c>
      <c r="B6351" s="3" t="str">
        <f>"00498976"</f>
        <v>00498976</v>
      </c>
    </row>
    <row r="6352" spans="1:2" x14ac:dyDescent="0.25">
      <c r="A6352" s="4">
        <v>6347</v>
      </c>
      <c r="B6352" s="3" t="str">
        <f>"00499012"</f>
        <v>00499012</v>
      </c>
    </row>
    <row r="6353" spans="1:2" x14ac:dyDescent="0.25">
      <c r="A6353" s="4">
        <v>6348</v>
      </c>
      <c r="B6353" s="3" t="str">
        <f>"00499045"</f>
        <v>00499045</v>
      </c>
    </row>
    <row r="6354" spans="1:2" x14ac:dyDescent="0.25">
      <c r="A6354" s="4">
        <v>6349</v>
      </c>
      <c r="B6354" s="3" t="str">
        <f>"00499067"</f>
        <v>00499067</v>
      </c>
    </row>
    <row r="6355" spans="1:2" x14ac:dyDescent="0.25">
      <c r="A6355" s="4">
        <v>6350</v>
      </c>
      <c r="B6355" s="3" t="str">
        <f>"00499083"</f>
        <v>00499083</v>
      </c>
    </row>
    <row r="6356" spans="1:2" x14ac:dyDescent="0.25">
      <c r="A6356" s="4">
        <v>6351</v>
      </c>
      <c r="B6356" s="3" t="str">
        <f>"00499087"</f>
        <v>00499087</v>
      </c>
    </row>
    <row r="6357" spans="1:2" x14ac:dyDescent="0.25">
      <c r="A6357" s="4">
        <v>6352</v>
      </c>
      <c r="B6357" s="3" t="str">
        <f>"00499112"</f>
        <v>00499112</v>
      </c>
    </row>
    <row r="6358" spans="1:2" x14ac:dyDescent="0.25">
      <c r="A6358" s="4">
        <v>6353</v>
      </c>
      <c r="B6358" s="3" t="str">
        <f>"00499129"</f>
        <v>00499129</v>
      </c>
    </row>
    <row r="6359" spans="1:2" x14ac:dyDescent="0.25">
      <c r="A6359" s="4">
        <v>6354</v>
      </c>
      <c r="B6359" s="3" t="str">
        <f>"00499171"</f>
        <v>00499171</v>
      </c>
    </row>
    <row r="6360" spans="1:2" x14ac:dyDescent="0.25">
      <c r="A6360" s="4">
        <v>6355</v>
      </c>
      <c r="B6360" s="3" t="str">
        <f>"00499233"</f>
        <v>00499233</v>
      </c>
    </row>
    <row r="6361" spans="1:2" x14ac:dyDescent="0.25">
      <c r="A6361" s="4">
        <v>6356</v>
      </c>
      <c r="B6361" s="3" t="str">
        <f>"00499239"</f>
        <v>00499239</v>
      </c>
    </row>
    <row r="6362" spans="1:2" x14ac:dyDescent="0.25">
      <c r="A6362" s="4">
        <v>6357</v>
      </c>
      <c r="B6362" s="3" t="str">
        <f>"00499242"</f>
        <v>00499242</v>
      </c>
    </row>
    <row r="6363" spans="1:2" x14ac:dyDescent="0.25">
      <c r="A6363" s="4">
        <v>6358</v>
      </c>
      <c r="B6363" s="3" t="str">
        <f>"00499244"</f>
        <v>00499244</v>
      </c>
    </row>
    <row r="6364" spans="1:2" x14ac:dyDescent="0.25">
      <c r="A6364" s="4">
        <v>6359</v>
      </c>
      <c r="B6364" s="3" t="str">
        <f>"00499260"</f>
        <v>00499260</v>
      </c>
    </row>
    <row r="6365" spans="1:2" x14ac:dyDescent="0.25">
      <c r="A6365" s="4">
        <v>6360</v>
      </c>
      <c r="B6365" s="3" t="str">
        <f>"00499270"</f>
        <v>00499270</v>
      </c>
    </row>
    <row r="6366" spans="1:2" x14ac:dyDescent="0.25">
      <c r="A6366" s="4">
        <v>6361</v>
      </c>
      <c r="B6366" s="3" t="str">
        <f>"00499285"</f>
        <v>00499285</v>
      </c>
    </row>
    <row r="6367" spans="1:2" x14ac:dyDescent="0.25">
      <c r="A6367" s="4">
        <v>6362</v>
      </c>
      <c r="B6367" s="3" t="str">
        <f>"00499303"</f>
        <v>00499303</v>
      </c>
    </row>
    <row r="6368" spans="1:2" x14ac:dyDescent="0.25">
      <c r="A6368" s="4">
        <v>6363</v>
      </c>
      <c r="B6368" s="3" t="str">
        <f>"00499322"</f>
        <v>00499322</v>
      </c>
    </row>
    <row r="6369" spans="1:2" x14ac:dyDescent="0.25">
      <c r="A6369" s="4">
        <v>6364</v>
      </c>
      <c r="B6369" s="3" t="str">
        <f>"00499350"</f>
        <v>00499350</v>
      </c>
    </row>
    <row r="6370" spans="1:2" x14ac:dyDescent="0.25">
      <c r="A6370" s="4">
        <v>6365</v>
      </c>
      <c r="B6370" s="3" t="str">
        <f>"00499352"</f>
        <v>00499352</v>
      </c>
    </row>
    <row r="6371" spans="1:2" x14ac:dyDescent="0.25">
      <c r="A6371" s="4">
        <v>6366</v>
      </c>
      <c r="B6371" s="3" t="str">
        <f>"00499356"</f>
        <v>00499356</v>
      </c>
    </row>
    <row r="6372" spans="1:2" x14ac:dyDescent="0.25">
      <c r="A6372" s="4">
        <v>6367</v>
      </c>
      <c r="B6372" s="3" t="str">
        <f>"00499472"</f>
        <v>00499472</v>
      </c>
    </row>
    <row r="6373" spans="1:2" x14ac:dyDescent="0.25">
      <c r="A6373" s="4">
        <v>6368</v>
      </c>
      <c r="B6373" s="3" t="str">
        <f>"00499779"</f>
        <v>00499779</v>
      </c>
    </row>
    <row r="6374" spans="1:2" x14ac:dyDescent="0.25">
      <c r="A6374" s="4">
        <v>6369</v>
      </c>
      <c r="B6374" s="3" t="str">
        <f>"00499866"</f>
        <v>00499866</v>
      </c>
    </row>
    <row r="6375" spans="1:2" x14ac:dyDescent="0.25">
      <c r="A6375" s="4">
        <v>6370</v>
      </c>
      <c r="B6375" s="3" t="str">
        <f>"00499902"</f>
        <v>00499902</v>
      </c>
    </row>
    <row r="6376" spans="1:2" x14ac:dyDescent="0.25">
      <c r="A6376" s="4">
        <v>6371</v>
      </c>
      <c r="B6376" s="3" t="str">
        <f>"00499911"</f>
        <v>00499911</v>
      </c>
    </row>
    <row r="6377" spans="1:2" x14ac:dyDescent="0.25">
      <c r="A6377" s="4">
        <v>6372</v>
      </c>
      <c r="B6377" s="3" t="str">
        <f>"00499914"</f>
        <v>00499914</v>
      </c>
    </row>
    <row r="6378" spans="1:2" x14ac:dyDescent="0.25">
      <c r="A6378" s="4">
        <v>6373</v>
      </c>
      <c r="B6378" s="3" t="str">
        <f>"00499951"</f>
        <v>00499951</v>
      </c>
    </row>
    <row r="6379" spans="1:2" x14ac:dyDescent="0.25">
      <c r="A6379" s="4">
        <v>6374</v>
      </c>
      <c r="B6379" s="3" t="str">
        <f>"00499995"</f>
        <v>00499995</v>
      </c>
    </row>
    <row r="6380" spans="1:2" x14ac:dyDescent="0.25">
      <c r="A6380" s="4">
        <v>6375</v>
      </c>
      <c r="B6380" s="3" t="str">
        <f>"00500110"</f>
        <v>00500110</v>
      </c>
    </row>
    <row r="6381" spans="1:2" x14ac:dyDescent="0.25">
      <c r="A6381" s="4">
        <v>6376</v>
      </c>
      <c r="B6381" s="3" t="str">
        <f>"00500130"</f>
        <v>00500130</v>
      </c>
    </row>
    <row r="6382" spans="1:2" x14ac:dyDescent="0.25">
      <c r="A6382" s="4">
        <v>6377</v>
      </c>
      <c r="B6382" s="3" t="str">
        <f>"00500223"</f>
        <v>00500223</v>
      </c>
    </row>
    <row r="6383" spans="1:2" x14ac:dyDescent="0.25">
      <c r="A6383" s="4">
        <v>6378</v>
      </c>
      <c r="B6383" s="3" t="str">
        <f>"00500227"</f>
        <v>00500227</v>
      </c>
    </row>
    <row r="6384" spans="1:2" x14ac:dyDescent="0.25">
      <c r="A6384" s="4">
        <v>6379</v>
      </c>
      <c r="B6384" s="3" t="str">
        <f>"00500383"</f>
        <v>00500383</v>
      </c>
    </row>
    <row r="6385" spans="1:2" x14ac:dyDescent="0.25">
      <c r="A6385" s="4">
        <v>6380</v>
      </c>
      <c r="B6385" s="3" t="str">
        <f>"00500422"</f>
        <v>00500422</v>
      </c>
    </row>
    <row r="6386" spans="1:2" x14ac:dyDescent="0.25">
      <c r="A6386" s="4">
        <v>6381</v>
      </c>
      <c r="B6386" s="3" t="str">
        <f>"00500486"</f>
        <v>00500486</v>
      </c>
    </row>
    <row r="6387" spans="1:2" x14ac:dyDescent="0.25">
      <c r="A6387" s="4">
        <v>6382</v>
      </c>
      <c r="B6387" s="3" t="str">
        <f>"00500586"</f>
        <v>00500586</v>
      </c>
    </row>
    <row r="6388" spans="1:2" x14ac:dyDescent="0.25">
      <c r="A6388" s="4">
        <v>6383</v>
      </c>
      <c r="B6388" s="3" t="str">
        <f>"00500746"</f>
        <v>00500746</v>
      </c>
    </row>
    <row r="6389" spans="1:2" x14ac:dyDescent="0.25">
      <c r="A6389" s="4">
        <v>6384</v>
      </c>
      <c r="B6389" s="3" t="str">
        <f>"00500758"</f>
        <v>00500758</v>
      </c>
    </row>
    <row r="6390" spans="1:2" x14ac:dyDescent="0.25">
      <c r="A6390" s="4">
        <v>6385</v>
      </c>
      <c r="B6390" s="3" t="str">
        <f>"00500765"</f>
        <v>00500765</v>
      </c>
    </row>
    <row r="6391" spans="1:2" x14ac:dyDescent="0.25">
      <c r="A6391" s="4">
        <v>6386</v>
      </c>
      <c r="B6391" s="3" t="str">
        <f>"00500808"</f>
        <v>00500808</v>
      </c>
    </row>
    <row r="6392" spans="1:2" x14ac:dyDescent="0.25">
      <c r="A6392" s="4">
        <v>6387</v>
      </c>
      <c r="B6392" s="3" t="str">
        <f>"00500812"</f>
        <v>00500812</v>
      </c>
    </row>
    <row r="6393" spans="1:2" x14ac:dyDescent="0.25">
      <c r="A6393" s="4">
        <v>6388</v>
      </c>
      <c r="B6393" s="3" t="str">
        <f>"00500857"</f>
        <v>00500857</v>
      </c>
    </row>
    <row r="6394" spans="1:2" x14ac:dyDescent="0.25">
      <c r="A6394" s="4">
        <v>6389</v>
      </c>
      <c r="B6394" s="3" t="str">
        <f>"00500877"</f>
        <v>00500877</v>
      </c>
    </row>
    <row r="6395" spans="1:2" x14ac:dyDescent="0.25">
      <c r="A6395" s="4">
        <v>6390</v>
      </c>
      <c r="B6395" s="3" t="str">
        <f>"00500916"</f>
        <v>00500916</v>
      </c>
    </row>
    <row r="6396" spans="1:2" x14ac:dyDescent="0.25">
      <c r="A6396" s="4">
        <v>6391</v>
      </c>
      <c r="B6396" s="3" t="str">
        <f>"00500933"</f>
        <v>00500933</v>
      </c>
    </row>
    <row r="6397" spans="1:2" x14ac:dyDescent="0.25">
      <c r="A6397" s="4">
        <v>6392</v>
      </c>
      <c r="B6397" s="3" t="str">
        <f>"00500995"</f>
        <v>00500995</v>
      </c>
    </row>
    <row r="6398" spans="1:2" x14ac:dyDescent="0.25">
      <c r="A6398" s="4">
        <v>6393</v>
      </c>
      <c r="B6398" s="3" t="str">
        <f>"00501009"</f>
        <v>00501009</v>
      </c>
    </row>
    <row r="6399" spans="1:2" x14ac:dyDescent="0.25">
      <c r="A6399" s="4">
        <v>6394</v>
      </c>
      <c r="B6399" s="3" t="str">
        <f>"00501017"</f>
        <v>00501017</v>
      </c>
    </row>
    <row r="6400" spans="1:2" x14ac:dyDescent="0.25">
      <c r="A6400" s="4">
        <v>6395</v>
      </c>
      <c r="B6400" s="3" t="str">
        <f>"00501028"</f>
        <v>00501028</v>
      </c>
    </row>
    <row r="6401" spans="1:2" x14ac:dyDescent="0.25">
      <c r="A6401" s="4">
        <v>6396</v>
      </c>
      <c r="B6401" s="3" t="str">
        <f>"00501031"</f>
        <v>00501031</v>
      </c>
    </row>
    <row r="6402" spans="1:2" x14ac:dyDescent="0.25">
      <c r="A6402" s="4">
        <v>6397</v>
      </c>
      <c r="B6402" s="3" t="str">
        <f>"00501086"</f>
        <v>00501086</v>
      </c>
    </row>
    <row r="6403" spans="1:2" x14ac:dyDescent="0.25">
      <c r="A6403" s="4">
        <v>6398</v>
      </c>
      <c r="B6403" s="3" t="str">
        <f>"00501101"</f>
        <v>00501101</v>
      </c>
    </row>
    <row r="6404" spans="1:2" x14ac:dyDescent="0.25">
      <c r="A6404" s="4">
        <v>6399</v>
      </c>
      <c r="B6404" s="3" t="str">
        <f>"00501112"</f>
        <v>00501112</v>
      </c>
    </row>
    <row r="6405" spans="1:2" x14ac:dyDescent="0.25">
      <c r="A6405" s="4">
        <v>6400</v>
      </c>
      <c r="B6405" s="3" t="str">
        <f>"00501166"</f>
        <v>00501166</v>
      </c>
    </row>
    <row r="6406" spans="1:2" x14ac:dyDescent="0.25">
      <c r="A6406" s="4">
        <v>6401</v>
      </c>
      <c r="B6406" s="3" t="str">
        <f>"00501300"</f>
        <v>00501300</v>
      </c>
    </row>
    <row r="6407" spans="1:2" x14ac:dyDescent="0.25">
      <c r="A6407" s="4">
        <v>6402</v>
      </c>
      <c r="B6407" s="3" t="str">
        <f>"00501392"</f>
        <v>00501392</v>
      </c>
    </row>
    <row r="6408" spans="1:2" x14ac:dyDescent="0.25">
      <c r="A6408" s="4">
        <v>6403</v>
      </c>
      <c r="B6408" s="3" t="str">
        <f>"00501409"</f>
        <v>00501409</v>
      </c>
    </row>
    <row r="6409" spans="1:2" x14ac:dyDescent="0.25">
      <c r="A6409" s="4">
        <v>6404</v>
      </c>
      <c r="B6409" s="3" t="str">
        <f>"00501416"</f>
        <v>00501416</v>
      </c>
    </row>
    <row r="6410" spans="1:2" x14ac:dyDescent="0.25">
      <c r="A6410" s="4">
        <v>6405</v>
      </c>
      <c r="B6410" s="3" t="str">
        <f>"00501418"</f>
        <v>00501418</v>
      </c>
    </row>
    <row r="6411" spans="1:2" x14ac:dyDescent="0.25">
      <c r="A6411" s="4">
        <v>6406</v>
      </c>
      <c r="B6411" s="3" t="str">
        <f>"00501420"</f>
        <v>00501420</v>
      </c>
    </row>
    <row r="6412" spans="1:2" x14ac:dyDescent="0.25">
      <c r="A6412" s="4">
        <v>6407</v>
      </c>
      <c r="B6412" s="3" t="str">
        <f>"00501538"</f>
        <v>00501538</v>
      </c>
    </row>
    <row r="6413" spans="1:2" x14ac:dyDescent="0.25">
      <c r="A6413" s="4">
        <v>6408</v>
      </c>
      <c r="B6413" s="3" t="str">
        <f>"00501557"</f>
        <v>00501557</v>
      </c>
    </row>
    <row r="6414" spans="1:2" x14ac:dyDescent="0.25">
      <c r="A6414" s="4">
        <v>6409</v>
      </c>
      <c r="B6414" s="3" t="str">
        <f>"00501583"</f>
        <v>00501583</v>
      </c>
    </row>
    <row r="6415" spans="1:2" x14ac:dyDescent="0.25">
      <c r="A6415" s="4">
        <v>6410</v>
      </c>
      <c r="B6415" s="3" t="str">
        <f>"00501591"</f>
        <v>00501591</v>
      </c>
    </row>
    <row r="6416" spans="1:2" x14ac:dyDescent="0.25">
      <c r="A6416" s="4">
        <v>6411</v>
      </c>
      <c r="B6416" s="3" t="str">
        <f>"00501678"</f>
        <v>00501678</v>
      </c>
    </row>
    <row r="6417" spans="1:2" x14ac:dyDescent="0.25">
      <c r="A6417" s="4">
        <v>6412</v>
      </c>
      <c r="B6417" s="3" t="str">
        <f>"00501699"</f>
        <v>00501699</v>
      </c>
    </row>
    <row r="6418" spans="1:2" x14ac:dyDescent="0.25">
      <c r="A6418" s="4">
        <v>6413</v>
      </c>
      <c r="B6418" s="3" t="str">
        <f>"00501712"</f>
        <v>00501712</v>
      </c>
    </row>
    <row r="6419" spans="1:2" x14ac:dyDescent="0.25">
      <c r="A6419" s="4">
        <v>6414</v>
      </c>
      <c r="B6419" s="3" t="str">
        <f>"00501726"</f>
        <v>00501726</v>
      </c>
    </row>
    <row r="6420" spans="1:2" x14ac:dyDescent="0.25">
      <c r="A6420" s="4">
        <v>6415</v>
      </c>
      <c r="B6420" s="3" t="str">
        <f>"00501803"</f>
        <v>00501803</v>
      </c>
    </row>
    <row r="6421" spans="1:2" x14ac:dyDescent="0.25">
      <c r="A6421" s="4">
        <v>6416</v>
      </c>
      <c r="B6421" s="3" t="str">
        <f>"00501810"</f>
        <v>00501810</v>
      </c>
    </row>
    <row r="6422" spans="1:2" x14ac:dyDescent="0.25">
      <c r="A6422" s="4">
        <v>6417</v>
      </c>
      <c r="B6422" s="3" t="str">
        <f>"00501815"</f>
        <v>00501815</v>
      </c>
    </row>
    <row r="6423" spans="1:2" x14ac:dyDescent="0.25">
      <c r="A6423" s="4">
        <v>6418</v>
      </c>
      <c r="B6423" s="3" t="str">
        <f>"00501838"</f>
        <v>00501838</v>
      </c>
    </row>
    <row r="6424" spans="1:2" x14ac:dyDescent="0.25">
      <c r="A6424" s="4">
        <v>6419</v>
      </c>
      <c r="B6424" s="3" t="str">
        <f>"00501850"</f>
        <v>00501850</v>
      </c>
    </row>
    <row r="6425" spans="1:2" x14ac:dyDescent="0.25">
      <c r="A6425" s="4">
        <v>6420</v>
      </c>
      <c r="B6425" s="3" t="str">
        <f>"00501860"</f>
        <v>00501860</v>
      </c>
    </row>
    <row r="6426" spans="1:2" x14ac:dyDescent="0.25">
      <c r="A6426" s="4">
        <v>6421</v>
      </c>
      <c r="B6426" s="3" t="str">
        <f>"00501866"</f>
        <v>00501866</v>
      </c>
    </row>
    <row r="6427" spans="1:2" x14ac:dyDescent="0.25">
      <c r="A6427" s="4">
        <v>6422</v>
      </c>
      <c r="B6427" s="3" t="str">
        <f>"00501884"</f>
        <v>00501884</v>
      </c>
    </row>
    <row r="6428" spans="1:2" x14ac:dyDescent="0.25">
      <c r="A6428" s="4">
        <v>6423</v>
      </c>
      <c r="B6428" s="3" t="str">
        <f>"00501889"</f>
        <v>00501889</v>
      </c>
    </row>
    <row r="6429" spans="1:2" x14ac:dyDescent="0.25">
      <c r="A6429" s="4">
        <v>6424</v>
      </c>
      <c r="B6429" s="3" t="str">
        <f>"00501929"</f>
        <v>00501929</v>
      </c>
    </row>
    <row r="6430" spans="1:2" x14ac:dyDescent="0.25">
      <c r="A6430" s="4">
        <v>6425</v>
      </c>
      <c r="B6430" s="3" t="str">
        <f>"00501944"</f>
        <v>00501944</v>
      </c>
    </row>
    <row r="6431" spans="1:2" x14ac:dyDescent="0.25">
      <c r="A6431" s="4">
        <v>6426</v>
      </c>
      <c r="B6431" s="3" t="str">
        <f>"00501999"</f>
        <v>00501999</v>
      </c>
    </row>
    <row r="6432" spans="1:2" x14ac:dyDescent="0.25">
      <c r="A6432" s="4">
        <v>6427</v>
      </c>
      <c r="B6432" s="3" t="str">
        <f>"00502036"</f>
        <v>00502036</v>
      </c>
    </row>
    <row r="6433" spans="1:2" x14ac:dyDescent="0.25">
      <c r="A6433" s="4">
        <v>6428</v>
      </c>
      <c r="B6433" s="3" t="str">
        <f>"00502069"</f>
        <v>00502069</v>
      </c>
    </row>
    <row r="6434" spans="1:2" x14ac:dyDescent="0.25">
      <c r="A6434" s="4">
        <v>6429</v>
      </c>
      <c r="B6434" s="3" t="str">
        <f>"00502071"</f>
        <v>00502071</v>
      </c>
    </row>
    <row r="6435" spans="1:2" x14ac:dyDescent="0.25">
      <c r="A6435" s="4">
        <v>6430</v>
      </c>
      <c r="B6435" s="3" t="str">
        <f>"00502087"</f>
        <v>00502087</v>
      </c>
    </row>
    <row r="6436" spans="1:2" x14ac:dyDescent="0.25">
      <c r="A6436" s="4">
        <v>6431</v>
      </c>
      <c r="B6436" s="3" t="str">
        <f>"00502119"</f>
        <v>00502119</v>
      </c>
    </row>
    <row r="6437" spans="1:2" x14ac:dyDescent="0.25">
      <c r="A6437" s="4">
        <v>6432</v>
      </c>
      <c r="B6437" s="3" t="str">
        <f>"00502124"</f>
        <v>00502124</v>
      </c>
    </row>
    <row r="6438" spans="1:2" x14ac:dyDescent="0.25">
      <c r="A6438" s="4">
        <v>6433</v>
      </c>
      <c r="B6438" s="3" t="str">
        <f>"00502272"</f>
        <v>00502272</v>
      </c>
    </row>
    <row r="6439" spans="1:2" x14ac:dyDescent="0.25">
      <c r="A6439" s="4">
        <v>6434</v>
      </c>
      <c r="B6439" s="3" t="str">
        <f>"00502380"</f>
        <v>00502380</v>
      </c>
    </row>
    <row r="6440" spans="1:2" x14ac:dyDescent="0.25">
      <c r="A6440" s="4">
        <v>6435</v>
      </c>
      <c r="B6440" s="3" t="str">
        <f>"00502439"</f>
        <v>00502439</v>
      </c>
    </row>
    <row r="6441" spans="1:2" x14ac:dyDescent="0.25">
      <c r="A6441" s="4">
        <v>6436</v>
      </c>
      <c r="B6441" s="3" t="str">
        <f>"00502665"</f>
        <v>00502665</v>
      </c>
    </row>
    <row r="6442" spans="1:2" x14ac:dyDescent="0.25">
      <c r="A6442" s="4">
        <v>6437</v>
      </c>
      <c r="B6442" s="3" t="str">
        <f>"00502680"</f>
        <v>00502680</v>
      </c>
    </row>
    <row r="6443" spans="1:2" x14ac:dyDescent="0.25">
      <c r="A6443" s="4">
        <v>6438</v>
      </c>
      <c r="B6443" s="3" t="str">
        <f>"00502689"</f>
        <v>00502689</v>
      </c>
    </row>
    <row r="6444" spans="1:2" x14ac:dyDescent="0.25">
      <c r="A6444" s="4">
        <v>6439</v>
      </c>
      <c r="B6444" s="3" t="str">
        <f>"00502746"</f>
        <v>00502746</v>
      </c>
    </row>
    <row r="6445" spans="1:2" x14ac:dyDescent="0.25">
      <c r="A6445" s="4">
        <v>6440</v>
      </c>
      <c r="B6445" s="3" t="str">
        <f>"00502763"</f>
        <v>00502763</v>
      </c>
    </row>
    <row r="6446" spans="1:2" x14ac:dyDescent="0.25">
      <c r="A6446" s="4">
        <v>6441</v>
      </c>
      <c r="B6446" s="3" t="str">
        <f>"00502772"</f>
        <v>00502772</v>
      </c>
    </row>
    <row r="6447" spans="1:2" x14ac:dyDescent="0.25">
      <c r="A6447" s="4">
        <v>6442</v>
      </c>
      <c r="B6447" s="3" t="str">
        <f>"00502799"</f>
        <v>00502799</v>
      </c>
    </row>
    <row r="6448" spans="1:2" x14ac:dyDescent="0.25">
      <c r="A6448" s="4">
        <v>6443</v>
      </c>
      <c r="B6448" s="3" t="str">
        <f>"00502824"</f>
        <v>00502824</v>
      </c>
    </row>
    <row r="6449" spans="1:2" x14ac:dyDescent="0.25">
      <c r="A6449" s="4">
        <v>6444</v>
      </c>
      <c r="B6449" s="3" t="str">
        <f>"00502849"</f>
        <v>00502849</v>
      </c>
    </row>
    <row r="6450" spans="1:2" x14ac:dyDescent="0.25">
      <c r="A6450" s="4">
        <v>6445</v>
      </c>
      <c r="B6450" s="3" t="str">
        <f>"00502902"</f>
        <v>00502902</v>
      </c>
    </row>
    <row r="6451" spans="1:2" x14ac:dyDescent="0.25">
      <c r="A6451" s="4">
        <v>6446</v>
      </c>
      <c r="B6451" s="3" t="str">
        <f>"00502935"</f>
        <v>00502935</v>
      </c>
    </row>
    <row r="6452" spans="1:2" x14ac:dyDescent="0.25">
      <c r="A6452" s="4">
        <v>6447</v>
      </c>
      <c r="B6452" s="3" t="str">
        <f>"00502961"</f>
        <v>00502961</v>
      </c>
    </row>
    <row r="6453" spans="1:2" x14ac:dyDescent="0.25">
      <c r="A6453" s="4">
        <v>6448</v>
      </c>
      <c r="B6453" s="3" t="str">
        <f>"00503035"</f>
        <v>00503035</v>
      </c>
    </row>
    <row r="6454" spans="1:2" x14ac:dyDescent="0.25">
      <c r="A6454" s="4">
        <v>6449</v>
      </c>
      <c r="B6454" s="3" t="str">
        <f>"00503049"</f>
        <v>00503049</v>
      </c>
    </row>
    <row r="6455" spans="1:2" x14ac:dyDescent="0.25">
      <c r="A6455" s="4">
        <v>6450</v>
      </c>
      <c r="B6455" s="3" t="str">
        <f>"00503057"</f>
        <v>00503057</v>
      </c>
    </row>
    <row r="6456" spans="1:2" x14ac:dyDescent="0.25">
      <c r="A6456" s="4">
        <v>6451</v>
      </c>
      <c r="B6456" s="3" t="str">
        <f>"00503070"</f>
        <v>00503070</v>
      </c>
    </row>
    <row r="6457" spans="1:2" x14ac:dyDescent="0.25">
      <c r="A6457" s="4">
        <v>6452</v>
      </c>
      <c r="B6457" s="3" t="str">
        <f>"00503251"</f>
        <v>00503251</v>
      </c>
    </row>
    <row r="6458" spans="1:2" x14ac:dyDescent="0.25">
      <c r="A6458" s="4">
        <v>6453</v>
      </c>
      <c r="B6458" s="3" t="str">
        <f>"00503312"</f>
        <v>00503312</v>
      </c>
    </row>
    <row r="6459" spans="1:2" x14ac:dyDescent="0.25">
      <c r="A6459" s="4">
        <v>6454</v>
      </c>
      <c r="B6459" s="3" t="str">
        <f>"00503315"</f>
        <v>00503315</v>
      </c>
    </row>
    <row r="6460" spans="1:2" x14ac:dyDescent="0.25">
      <c r="A6460" s="4">
        <v>6455</v>
      </c>
      <c r="B6460" s="3" t="str">
        <f>"00503425"</f>
        <v>00503425</v>
      </c>
    </row>
    <row r="6461" spans="1:2" x14ac:dyDescent="0.25">
      <c r="A6461" s="4">
        <v>6456</v>
      </c>
      <c r="B6461" s="3" t="str">
        <f>"00503521"</f>
        <v>00503521</v>
      </c>
    </row>
    <row r="6462" spans="1:2" x14ac:dyDescent="0.25">
      <c r="A6462" s="4">
        <v>6457</v>
      </c>
      <c r="B6462" s="3" t="str">
        <f>"00503532"</f>
        <v>00503532</v>
      </c>
    </row>
    <row r="6463" spans="1:2" x14ac:dyDescent="0.25">
      <c r="A6463" s="4">
        <v>6458</v>
      </c>
      <c r="B6463" s="3" t="str">
        <f>"00503574"</f>
        <v>00503574</v>
      </c>
    </row>
    <row r="6464" spans="1:2" x14ac:dyDescent="0.25">
      <c r="A6464" s="4">
        <v>6459</v>
      </c>
      <c r="B6464" s="3" t="str">
        <f>"00503588"</f>
        <v>00503588</v>
      </c>
    </row>
    <row r="6465" spans="1:2" x14ac:dyDescent="0.25">
      <c r="A6465" s="4">
        <v>6460</v>
      </c>
      <c r="B6465" s="3" t="str">
        <f>"00503782"</f>
        <v>00503782</v>
      </c>
    </row>
    <row r="6466" spans="1:2" x14ac:dyDescent="0.25">
      <c r="A6466" s="4">
        <v>6461</v>
      </c>
      <c r="B6466" s="3" t="str">
        <f>"00503795"</f>
        <v>00503795</v>
      </c>
    </row>
    <row r="6467" spans="1:2" x14ac:dyDescent="0.25">
      <c r="A6467" s="4">
        <v>6462</v>
      </c>
      <c r="B6467" s="3" t="str">
        <f>"00503871"</f>
        <v>00503871</v>
      </c>
    </row>
    <row r="6468" spans="1:2" x14ac:dyDescent="0.25">
      <c r="A6468" s="4">
        <v>6463</v>
      </c>
      <c r="B6468" s="3" t="str">
        <f>"00504011"</f>
        <v>00504011</v>
      </c>
    </row>
    <row r="6469" spans="1:2" x14ac:dyDescent="0.25">
      <c r="A6469" s="4">
        <v>6464</v>
      </c>
      <c r="B6469" s="3" t="str">
        <f>"00504087"</f>
        <v>00504087</v>
      </c>
    </row>
    <row r="6470" spans="1:2" x14ac:dyDescent="0.25">
      <c r="A6470" s="4">
        <v>6465</v>
      </c>
      <c r="B6470" s="3" t="str">
        <f>"00504089"</f>
        <v>00504089</v>
      </c>
    </row>
    <row r="6471" spans="1:2" x14ac:dyDescent="0.25">
      <c r="A6471" s="4">
        <v>6466</v>
      </c>
      <c r="B6471" s="3" t="str">
        <f>"00504159"</f>
        <v>00504159</v>
      </c>
    </row>
    <row r="6472" spans="1:2" x14ac:dyDescent="0.25">
      <c r="A6472" s="4">
        <v>6467</v>
      </c>
      <c r="B6472" s="3" t="str">
        <f>"00504175"</f>
        <v>00504175</v>
      </c>
    </row>
    <row r="6473" spans="1:2" x14ac:dyDescent="0.25">
      <c r="A6473" s="4">
        <v>6468</v>
      </c>
      <c r="B6473" s="3" t="str">
        <f>"00504180"</f>
        <v>00504180</v>
      </c>
    </row>
    <row r="6474" spans="1:2" x14ac:dyDescent="0.25">
      <c r="A6474" s="4">
        <v>6469</v>
      </c>
      <c r="B6474" s="3" t="str">
        <f>"00504188"</f>
        <v>00504188</v>
      </c>
    </row>
    <row r="6475" spans="1:2" x14ac:dyDescent="0.25">
      <c r="A6475" s="4">
        <v>6470</v>
      </c>
      <c r="B6475" s="3" t="str">
        <f>"00504205"</f>
        <v>00504205</v>
      </c>
    </row>
    <row r="6476" spans="1:2" x14ac:dyDescent="0.25">
      <c r="A6476" s="4">
        <v>6471</v>
      </c>
      <c r="B6476" s="3" t="str">
        <f>"00504239"</f>
        <v>00504239</v>
      </c>
    </row>
    <row r="6477" spans="1:2" x14ac:dyDescent="0.25">
      <c r="A6477" s="4">
        <v>6472</v>
      </c>
      <c r="B6477" s="3" t="str">
        <f>"00504438"</f>
        <v>00504438</v>
      </c>
    </row>
    <row r="6478" spans="1:2" x14ac:dyDescent="0.25">
      <c r="A6478" s="4">
        <v>6473</v>
      </c>
      <c r="B6478" s="3" t="str">
        <f>"00504541"</f>
        <v>00504541</v>
      </c>
    </row>
    <row r="6479" spans="1:2" x14ac:dyDescent="0.25">
      <c r="A6479" s="4">
        <v>6474</v>
      </c>
      <c r="B6479" s="3" t="str">
        <f>"00504740"</f>
        <v>00504740</v>
      </c>
    </row>
    <row r="6480" spans="1:2" x14ac:dyDescent="0.25">
      <c r="A6480" s="4">
        <v>6475</v>
      </c>
      <c r="B6480" s="3" t="str">
        <f>"00504793"</f>
        <v>00504793</v>
      </c>
    </row>
    <row r="6481" spans="1:2" x14ac:dyDescent="0.25">
      <c r="A6481" s="4">
        <v>6476</v>
      </c>
      <c r="B6481" s="3" t="str">
        <f>"00504800"</f>
        <v>00504800</v>
      </c>
    </row>
    <row r="6482" spans="1:2" x14ac:dyDescent="0.25">
      <c r="A6482" s="4">
        <v>6477</v>
      </c>
      <c r="B6482" s="3" t="str">
        <f>"00504817"</f>
        <v>00504817</v>
      </c>
    </row>
    <row r="6483" spans="1:2" x14ac:dyDescent="0.25">
      <c r="A6483" s="4">
        <v>6478</v>
      </c>
      <c r="B6483" s="3" t="str">
        <f>"00505017"</f>
        <v>00505017</v>
      </c>
    </row>
    <row r="6484" spans="1:2" x14ac:dyDescent="0.25">
      <c r="A6484" s="4">
        <v>6479</v>
      </c>
      <c r="B6484" s="3" t="str">
        <f>"00505118"</f>
        <v>00505118</v>
      </c>
    </row>
    <row r="6485" spans="1:2" x14ac:dyDescent="0.25">
      <c r="A6485" s="4">
        <v>6480</v>
      </c>
      <c r="B6485" s="3" t="str">
        <f>"00505175"</f>
        <v>00505175</v>
      </c>
    </row>
    <row r="6486" spans="1:2" x14ac:dyDescent="0.25">
      <c r="A6486" s="4">
        <v>6481</v>
      </c>
      <c r="B6486" s="3" t="str">
        <f>"00505272"</f>
        <v>00505272</v>
      </c>
    </row>
    <row r="6487" spans="1:2" x14ac:dyDescent="0.25">
      <c r="A6487" s="4">
        <v>6482</v>
      </c>
      <c r="B6487" s="3" t="str">
        <f>"00505384"</f>
        <v>00505384</v>
      </c>
    </row>
    <row r="6488" spans="1:2" x14ac:dyDescent="0.25">
      <c r="A6488" s="4">
        <v>6483</v>
      </c>
      <c r="B6488" s="3" t="str">
        <f>"00505547"</f>
        <v>00505547</v>
      </c>
    </row>
    <row r="6489" spans="1:2" x14ac:dyDescent="0.25">
      <c r="A6489" s="4">
        <v>6484</v>
      </c>
      <c r="B6489" s="3" t="str">
        <f>"00505606"</f>
        <v>00505606</v>
      </c>
    </row>
    <row r="6490" spans="1:2" x14ac:dyDescent="0.25">
      <c r="A6490" s="4">
        <v>6485</v>
      </c>
      <c r="B6490" s="3" t="str">
        <f>"00505702"</f>
        <v>00505702</v>
      </c>
    </row>
    <row r="6491" spans="1:2" x14ac:dyDescent="0.25">
      <c r="A6491" s="4">
        <v>6486</v>
      </c>
      <c r="B6491" s="3" t="str">
        <f>"00505736"</f>
        <v>00505736</v>
      </c>
    </row>
    <row r="6492" spans="1:2" x14ac:dyDescent="0.25">
      <c r="A6492" s="4">
        <v>6487</v>
      </c>
      <c r="B6492" s="3" t="str">
        <f>"00505756"</f>
        <v>00505756</v>
      </c>
    </row>
    <row r="6493" spans="1:2" x14ac:dyDescent="0.25">
      <c r="A6493" s="4">
        <v>6488</v>
      </c>
      <c r="B6493" s="3" t="str">
        <f>"00505801"</f>
        <v>00505801</v>
      </c>
    </row>
    <row r="6494" spans="1:2" x14ac:dyDescent="0.25">
      <c r="A6494" s="4">
        <v>6489</v>
      </c>
      <c r="B6494" s="3" t="str">
        <f>"00505901"</f>
        <v>00505901</v>
      </c>
    </row>
    <row r="6495" spans="1:2" x14ac:dyDescent="0.25">
      <c r="A6495" s="4">
        <v>6490</v>
      </c>
      <c r="B6495" s="3" t="str">
        <f>"00505943"</f>
        <v>00505943</v>
      </c>
    </row>
    <row r="6496" spans="1:2" x14ac:dyDescent="0.25">
      <c r="A6496" s="4">
        <v>6491</v>
      </c>
      <c r="B6496" s="3" t="str">
        <f>"00506055"</f>
        <v>00506055</v>
      </c>
    </row>
    <row r="6497" spans="1:2" x14ac:dyDescent="0.25">
      <c r="A6497" s="4">
        <v>6492</v>
      </c>
      <c r="B6497" s="3" t="str">
        <f>"00506114"</f>
        <v>00506114</v>
      </c>
    </row>
    <row r="6498" spans="1:2" x14ac:dyDescent="0.25">
      <c r="A6498" s="4">
        <v>6493</v>
      </c>
      <c r="B6498" s="3" t="str">
        <f>"00506118"</f>
        <v>00506118</v>
      </c>
    </row>
    <row r="6499" spans="1:2" x14ac:dyDescent="0.25">
      <c r="A6499" s="4">
        <v>6494</v>
      </c>
      <c r="B6499" s="3" t="str">
        <f>"00506194"</f>
        <v>00506194</v>
      </c>
    </row>
    <row r="6500" spans="1:2" x14ac:dyDescent="0.25">
      <c r="A6500" s="4">
        <v>6495</v>
      </c>
      <c r="B6500" s="3" t="str">
        <f>"00506292"</f>
        <v>00506292</v>
      </c>
    </row>
    <row r="6501" spans="1:2" x14ac:dyDescent="0.25">
      <c r="A6501" s="4">
        <v>6496</v>
      </c>
      <c r="B6501" s="3" t="str">
        <f>"00506303"</f>
        <v>00506303</v>
      </c>
    </row>
    <row r="6502" spans="1:2" x14ac:dyDescent="0.25">
      <c r="A6502" s="4">
        <v>6497</v>
      </c>
      <c r="B6502" s="3" t="str">
        <f>"00506327"</f>
        <v>00506327</v>
      </c>
    </row>
    <row r="6503" spans="1:2" x14ac:dyDescent="0.25">
      <c r="A6503" s="4">
        <v>6498</v>
      </c>
      <c r="B6503" s="3" t="str">
        <f>"00506398"</f>
        <v>00506398</v>
      </c>
    </row>
    <row r="6504" spans="1:2" x14ac:dyDescent="0.25">
      <c r="A6504" s="4">
        <v>6499</v>
      </c>
      <c r="B6504" s="3" t="str">
        <f>"00506423"</f>
        <v>00506423</v>
      </c>
    </row>
    <row r="6505" spans="1:2" x14ac:dyDescent="0.25">
      <c r="A6505" s="4">
        <v>6500</v>
      </c>
      <c r="B6505" s="3" t="str">
        <f>"00506537"</f>
        <v>00506537</v>
      </c>
    </row>
    <row r="6506" spans="1:2" x14ac:dyDescent="0.25">
      <c r="A6506" s="4">
        <v>6501</v>
      </c>
      <c r="B6506" s="3" t="str">
        <f>"00506666"</f>
        <v>00506666</v>
      </c>
    </row>
    <row r="6507" spans="1:2" x14ac:dyDescent="0.25">
      <c r="A6507" s="4">
        <v>6502</v>
      </c>
      <c r="B6507" s="3" t="str">
        <f>"00506704"</f>
        <v>00506704</v>
      </c>
    </row>
    <row r="6508" spans="1:2" x14ac:dyDescent="0.25">
      <c r="A6508" s="4">
        <v>6503</v>
      </c>
      <c r="B6508" s="3" t="str">
        <f>"00506757"</f>
        <v>00506757</v>
      </c>
    </row>
    <row r="6509" spans="1:2" x14ac:dyDescent="0.25">
      <c r="A6509" s="4">
        <v>6504</v>
      </c>
      <c r="B6509" s="3" t="str">
        <f>"00506774"</f>
        <v>00506774</v>
      </c>
    </row>
    <row r="6510" spans="1:2" x14ac:dyDescent="0.25">
      <c r="A6510" s="4">
        <v>6505</v>
      </c>
      <c r="B6510" s="3" t="str">
        <f>"00506780"</f>
        <v>00506780</v>
      </c>
    </row>
    <row r="6511" spans="1:2" x14ac:dyDescent="0.25">
      <c r="A6511" s="4">
        <v>6506</v>
      </c>
      <c r="B6511" s="3" t="str">
        <f>"00506843"</f>
        <v>00506843</v>
      </c>
    </row>
    <row r="6512" spans="1:2" x14ac:dyDescent="0.25">
      <c r="A6512" s="4">
        <v>6507</v>
      </c>
      <c r="B6512" s="3" t="str">
        <f>"00506907"</f>
        <v>00506907</v>
      </c>
    </row>
    <row r="6513" spans="1:2" x14ac:dyDescent="0.25">
      <c r="A6513" s="4">
        <v>6508</v>
      </c>
      <c r="B6513" s="3" t="str">
        <f>"00506940"</f>
        <v>00506940</v>
      </c>
    </row>
    <row r="6514" spans="1:2" x14ac:dyDescent="0.25">
      <c r="A6514" s="4">
        <v>6509</v>
      </c>
      <c r="B6514" s="3" t="str">
        <f>"00506959"</f>
        <v>00506959</v>
      </c>
    </row>
    <row r="6515" spans="1:2" x14ac:dyDescent="0.25">
      <c r="A6515" s="4">
        <v>6510</v>
      </c>
      <c r="B6515" s="3" t="str">
        <f>"00506989"</f>
        <v>00506989</v>
      </c>
    </row>
    <row r="6516" spans="1:2" x14ac:dyDescent="0.25">
      <c r="A6516" s="4">
        <v>6511</v>
      </c>
      <c r="B6516" s="3" t="str">
        <f>"00507144"</f>
        <v>00507144</v>
      </c>
    </row>
    <row r="6517" spans="1:2" x14ac:dyDescent="0.25">
      <c r="A6517" s="4">
        <v>6512</v>
      </c>
      <c r="B6517" s="3" t="str">
        <f>"00507315"</f>
        <v>00507315</v>
      </c>
    </row>
    <row r="6518" spans="1:2" x14ac:dyDescent="0.25">
      <c r="A6518" s="4">
        <v>6513</v>
      </c>
      <c r="B6518" s="3" t="str">
        <f>"00507358"</f>
        <v>00507358</v>
      </c>
    </row>
    <row r="6519" spans="1:2" x14ac:dyDescent="0.25">
      <c r="A6519" s="4">
        <v>6514</v>
      </c>
      <c r="B6519" s="3" t="str">
        <f>"00507537"</f>
        <v>00507537</v>
      </c>
    </row>
    <row r="6520" spans="1:2" x14ac:dyDescent="0.25">
      <c r="A6520" s="4">
        <v>6515</v>
      </c>
      <c r="B6520" s="3" t="str">
        <f>"00507607"</f>
        <v>00507607</v>
      </c>
    </row>
    <row r="6521" spans="1:2" x14ac:dyDescent="0.25">
      <c r="A6521" s="4">
        <v>6516</v>
      </c>
      <c r="B6521" s="3" t="str">
        <f>"00507722"</f>
        <v>00507722</v>
      </c>
    </row>
    <row r="6522" spans="1:2" x14ac:dyDescent="0.25">
      <c r="A6522" s="4">
        <v>6517</v>
      </c>
      <c r="B6522" s="3" t="str">
        <f>"00507733"</f>
        <v>00507733</v>
      </c>
    </row>
    <row r="6523" spans="1:2" x14ac:dyDescent="0.25">
      <c r="A6523" s="4">
        <v>6518</v>
      </c>
      <c r="B6523" s="3" t="str">
        <f>"00507783"</f>
        <v>00507783</v>
      </c>
    </row>
    <row r="6524" spans="1:2" x14ac:dyDescent="0.25">
      <c r="A6524" s="4">
        <v>6519</v>
      </c>
      <c r="B6524" s="3" t="str">
        <f>"00507816"</f>
        <v>00507816</v>
      </c>
    </row>
    <row r="6525" spans="1:2" x14ac:dyDescent="0.25">
      <c r="A6525" s="4">
        <v>6520</v>
      </c>
      <c r="B6525" s="3" t="str">
        <f>"00507967"</f>
        <v>00507967</v>
      </c>
    </row>
    <row r="6526" spans="1:2" x14ac:dyDescent="0.25">
      <c r="A6526" s="4">
        <v>6521</v>
      </c>
      <c r="B6526" s="3" t="str">
        <f>"00507996"</f>
        <v>00507996</v>
      </c>
    </row>
    <row r="6527" spans="1:2" x14ac:dyDescent="0.25">
      <c r="A6527" s="4">
        <v>6522</v>
      </c>
      <c r="B6527" s="3" t="str">
        <f>"00508265"</f>
        <v>00508265</v>
      </c>
    </row>
    <row r="6528" spans="1:2" x14ac:dyDescent="0.25">
      <c r="A6528" s="4">
        <v>6523</v>
      </c>
      <c r="B6528" s="3" t="str">
        <f>"00508597"</f>
        <v>00508597</v>
      </c>
    </row>
    <row r="6529" spans="1:2" x14ac:dyDescent="0.25">
      <c r="A6529" s="4">
        <v>6524</v>
      </c>
      <c r="B6529" s="3" t="str">
        <f>"00508655"</f>
        <v>00508655</v>
      </c>
    </row>
    <row r="6530" spans="1:2" x14ac:dyDescent="0.25">
      <c r="A6530" s="4">
        <v>6525</v>
      </c>
      <c r="B6530" s="3" t="str">
        <f>"00508842"</f>
        <v>00508842</v>
      </c>
    </row>
    <row r="6531" spans="1:2" x14ac:dyDescent="0.25">
      <c r="A6531" s="4">
        <v>6526</v>
      </c>
      <c r="B6531" s="3" t="str">
        <f>"00509045"</f>
        <v>00509045</v>
      </c>
    </row>
    <row r="6532" spans="1:2" x14ac:dyDescent="0.25">
      <c r="A6532" s="4">
        <v>6527</v>
      </c>
      <c r="B6532" s="3" t="str">
        <f>"00509139"</f>
        <v>00509139</v>
      </c>
    </row>
    <row r="6533" spans="1:2" x14ac:dyDescent="0.25">
      <c r="A6533" s="4">
        <v>6528</v>
      </c>
      <c r="B6533" s="3" t="str">
        <f>"00509144"</f>
        <v>00509144</v>
      </c>
    </row>
    <row r="6534" spans="1:2" x14ac:dyDescent="0.25">
      <c r="A6534" s="4">
        <v>6529</v>
      </c>
      <c r="B6534" s="3" t="str">
        <f>"00509154"</f>
        <v>00509154</v>
      </c>
    </row>
    <row r="6535" spans="1:2" x14ac:dyDescent="0.25">
      <c r="A6535" s="4">
        <v>6530</v>
      </c>
      <c r="B6535" s="3" t="str">
        <f>"00509283"</f>
        <v>00509283</v>
      </c>
    </row>
    <row r="6536" spans="1:2" x14ac:dyDescent="0.25">
      <c r="A6536" s="4">
        <v>6531</v>
      </c>
      <c r="B6536" s="3" t="str">
        <f>"00509358"</f>
        <v>00509358</v>
      </c>
    </row>
    <row r="6537" spans="1:2" x14ac:dyDescent="0.25">
      <c r="A6537" s="4">
        <v>6532</v>
      </c>
      <c r="B6537" s="3" t="str">
        <f>"00510079"</f>
        <v>00510079</v>
      </c>
    </row>
    <row r="6538" spans="1:2" x14ac:dyDescent="0.25">
      <c r="A6538" s="4">
        <v>6533</v>
      </c>
      <c r="B6538" s="3" t="str">
        <f>"00510148"</f>
        <v>00510148</v>
      </c>
    </row>
    <row r="6539" spans="1:2" x14ac:dyDescent="0.25">
      <c r="A6539" s="4">
        <v>6534</v>
      </c>
      <c r="B6539" s="3" t="str">
        <f>"00510382"</f>
        <v>00510382</v>
      </c>
    </row>
    <row r="6540" spans="1:2" x14ac:dyDescent="0.25">
      <c r="A6540" s="4">
        <v>6535</v>
      </c>
      <c r="B6540" s="3" t="str">
        <f>"00510385"</f>
        <v>00510385</v>
      </c>
    </row>
    <row r="6541" spans="1:2" x14ac:dyDescent="0.25">
      <c r="A6541" s="4">
        <v>6536</v>
      </c>
      <c r="B6541" s="3" t="str">
        <f>"00510387"</f>
        <v>00510387</v>
      </c>
    </row>
    <row r="6542" spans="1:2" x14ac:dyDescent="0.25">
      <c r="A6542" s="4">
        <v>6537</v>
      </c>
      <c r="B6542" s="3" t="str">
        <f>"00510436"</f>
        <v>00510436</v>
      </c>
    </row>
    <row r="6543" spans="1:2" x14ac:dyDescent="0.25">
      <c r="A6543" s="4">
        <v>6538</v>
      </c>
      <c r="B6543" s="3" t="str">
        <f>"00510449"</f>
        <v>00510449</v>
      </c>
    </row>
    <row r="6544" spans="1:2" x14ac:dyDescent="0.25">
      <c r="A6544" s="4">
        <v>6539</v>
      </c>
      <c r="B6544" s="3" t="str">
        <f>"00511663"</f>
        <v>00511663</v>
      </c>
    </row>
    <row r="6545" spans="1:2" x14ac:dyDescent="0.25">
      <c r="A6545" s="4">
        <v>6540</v>
      </c>
      <c r="B6545" s="3" t="str">
        <f>"00511725"</f>
        <v>00511725</v>
      </c>
    </row>
    <row r="6546" spans="1:2" x14ac:dyDescent="0.25">
      <c r="A6546" s="4">
        <v>6541</v>
      </c>
      <c r="B6546" s="3" t="str">
        <f>"00511818"</f>
        <v>00511818</v>
      </c>
    </row>
    <row r="6547" spans="1:2" x14ac:dyDescent="0.25">
      <c r="A6547" s="4">
        <v>6542</v>
      </c>
      <c r="B6547" s="3" t="str">
        <f>"00511827"</f>
        <v>00511827</v>
      </c>
    </row>
    <row r="6548" spans="1:2" x14ac:dyDescent="0.25">
      <c r="A6548" s="4">
        <v>6543</v>
      </c>
      <c r="B6548" s="3" t="str">
        <f>"00511887"</f>
        <v>00511887</v>
      </c>
    </row>
    <row r="6549" spans="1:2" x14ac:dyDescent="0.25">
      <c r="A6549" s="4">
        <v>6544</v>
      </c>
      <c r="B6549" s="3" t="str">
        <f>"00511901"</f>
        <v>00511901</v>
      </c>
    </row>
    <row r="6550" spans="1:2" x14ac:dyDescent="0.25">
      <c r="A6550" s="4">
        <v>6545</v>
      </c>
      <c r="B6550" s="3" t="str">
        <f>"00511996"</f>
        <v>00511996</v>
      </c>
    </row>
    <row r="6551" spans="1:2" x14ac:dyDescent="0.25">
      <c r="A6551" s="4">
        <v>6546</v>
      </c>
      <c r="B6551" s="3" t="str">
        <f>"00512330"</f>
        <v>00512330</v>
      </c>
    </row>
    <row r="6552" spans="1:2" x14ac:dyDescent="0.25">
      <c r="A6552" s="4">
        <v>6547</v>
      </c>
      <c r="B6552" s="3" t="str">
        <f>"00512421"</f>
        <v>00512421</v>
      </c>
    </row>
    <row r="6553" spans="1:2" x14ac:dyDescent="0.25">
      <c r="A6553" s="4">
        <v>6548</v>
      </c>
      <c r="B6553" s="3" t="str">
        <f>"00512860"</f>
        <v>00512860</v>
      </c>
    </row>
    <row r="6554" spans="1:2" x14ac:dyDescent="0.25">
      <c r="A6554" s="4">
        <v>6549</v>
      </c>
      <c r="B6554" s="3" t="str">
        <f>"00512989"</f>
        <v>00512989</v>
      </c>
    </row>
    <row r="6555" spans="1:2" x14ac:dyDescent="0.25">
      <c r="A6555" s="4">
        <v>6550</v>
      </c>
      <c r="B6555" s="3" t="str">
        <f>"00513003"</f>
        <v>00513003</v>
      </c>
    </row>
    <row r="6556" spans="1:2" x14ac:dyDescent="0.25">
      <c r="A6556" s="4">
        <v>6551</v>
      </c>
      <c r="B6556" s="3" t="str">
        <f>"00513077"</f>
        <v>00513077</v>
      </c>
    </row>
    <row r="6557" spans="1:2" x14ac:dyDescent="0.25">
      <c r="A6557" s="4">
        <v>6552</v>
      </c>
      <c r="B6557" s="3" t="str">
        <f>"00513242"</f>
        <v>00513242</v>
      </c>
    </row>
    <row r="6558" spans="1:2" x14ac:dyDescent="0.25">
      <c r="A6558" s="4">
        <v>6553</v>
      </c>
      <c r="B6558" s="3" t="str">
        <f>"00513394"</f>
        <v>00513394</v>
      </c>
    </row>
    <row r="6559" spans="1:2" x14ac:dyDescent="0.25">
      <c r="A6559" s="4">
        <v>6554</v>
      </c>
      <c r="B6559" s="3" t="str">
        <f>"00513655"</f>
        <v>00513655</v>
      </c>
    </row>
    <row r="6560" spans="1:2" x14ac:dyDescent="0.25">
      <c r="A6560" s="4">
        <v>6555</v>
      </c>
      <c r="B6560" s="3" t="str">
        <f>"00514284"</f>
        <v>00514284</v>
      </c>
    </row>
    <row r="6561" spans="1:2" x14ac:dyDescent="0.25">
      <c r="A6561" s="4">
        <v>6556</v>
      </c>
      <c r="B6561" s="3" t="str">
        <f>"00514512"</f>
        <v>00514512</v>
      </c>
    </row>
    <row r="6562" spans="1:2" x14ac:dyDescent="0.25">
      <c r="A6562" s="4">
        <v>6557</v>
      </c>
      <c r="B6562" s="3" t="str">
        <f>"00514839"</f>
        <v>00514839</v>
      </c>
    </row>
    <row r="6563" spans="1:2" x14ac:dyDescent="0.25">
      <c r="A6563" s="4">
        <v>6558</v>
      </c>
      <c r="B6563" s="3" t="str">
        <f>"00515481"</f>
        <v>00515481</v>
      </c>
    </row>
    <row r="6564" spans="1:2" x14ac:dyDescent="0.25">
      <c r="A6564" s="4">
        <v>6559</v>
      </c>
      <c r="B6564" s="3" t="str">
        <f>"00515601"</f>
        <v>00515601</v>
      </c>
    </row>
    <row r="6565" spans="1:2" x14ac:dyDescent="0.25">
      <c r="A6565" s="4">
        <v>6560</v>
      </c>
      <c r="B6565" s="3" t="str">
        <f>"00515784"</f>
        <v>00515784</v>
      </c>
    </row>
    <row r="6566" spans="1:2" x14ac:dyDescent="0.25">
      <c r="A6566" s="4">
        <v>6561</v>
      </c>
      <c r="B6566" s="3" t="str">
        <f>"00516219"</f>
        <v>00516219</v>
      </c>
    </row>
    <row r="6567" spans="1:2" x14ac:dyDescent="0.25">
      <c r="A6567" s="4">
        <v>6562</v>
      </c>
      <c r="B6567" s="3" t="str">
        <f>"00516645"</f>
        <v>00516645</v>
      </c>
    </row>
    <row r="6568" spans="1:2" x14ac:dyDescent="0.25">
      <c r="A6568" s="4">
        <v>6563</v>
      </c>
      <c r="B6568" s="3" t="str">
        <f>"00516679"</f>
        <v>00516679</v>
      </c>
    </row>
    <row r="6569" spans="1:2" x14ac:dyDescent="0.25">
      <c r="A6569" s="4">
        <v>6564</v>
      </c>
      <c r="B6569" s="3" t="str">
        <f>"00516705"</f>
        <v>00516705</v>
      </c>
    </row>
    <row r="6570" spans="1:2" x14ac:dyDescent="0.25">
      <c r="A6570" s="4">
        <v>6565</v>
      </c>
      <c r="B6570" s="3" t="str">
        <f>"00516843"</f>
        <v>00516843</v>
      </c>
    </row>
    <row r="6571" spans="1:2" x14ac:dyDescent="0.25">
      <c r="A6571" s="4">
        <v>6566</v>
      </c>
      <c r="B6571" s="3" t="str">
        <f>"00517138"</f>
        <v>00517138</v>
      </c>
    </row>
    <row r="6572" spans="1:2" x14ac:dyDescent="0.25">
      <c r="A6572" s="4">
        <v>6567</v>
      </c>
      <c r="B6572" s="3" t="str">
        <f>"00517587"</f>
        <v>00517587</v>
      </c>
    </row>
    <row r="6573" spans="1:2" x14ac:dyDescent="0.25">
      <c r="A6573" s="4">
        <v>6568</v>
      </c>
      <c r="B6573" s="3" t="str">
        <f>"00517593"</f>
        <v>00517593</v>
      </c>
    </row>
    <row r="6574" spans="1:2" x14ac:dyDescent="0.25">
      <c r="A6574" s="4">
        <v>6569</v>
      </c>
      <c r="B6574" s="3" t="str">
        <f>"00517631"</f>
        <v>00517631</v>
      </c>
    </row>
    <row r="6575" spans="1:2" x14ac:dyDescent="0.25">
      <c r="A6575" s="4">
        <v>6570</v>
      </c>
      <c r="B6575" s="3" t="str">
        <f>"00517632"</f>
        <v>00517632</v>
      </c>
    </row>
    <row r="6576" spans="1:2" x14ac:dyDescent="0.25">
      <c r="A6576" s="4">
        <v>6571</v>
      </c>
      <c r="B6576" s="3" t="str">
        <f>"00517796"</f>
        <v>00517796</v>
      </c>
    </row>
    <row r="6577" spans="1:2" x14ac:dyDescent="0.25">
      <c r="A6577" s="4">
        <v>6572</v>
      </c>
      <c r="B6577" s="3" t="str">
        <f>"00518218"</f>
        <v>00518218</v>
      </c>
    </row>
    <row r="6578" spans="1:2" x14ac:dyDescent="0.25">
      <c r="A6578" s="4">
        <v>6573</v>
      </c>
      <c r="B6578" s="3" t="str">
        <f>"00519266"</f>
        <v>00519266</v>
      </c>
    </row>
    <row r="6579" spans="1:2" x14ac:dyDescent="0.25">
      <c r="A6579" s="4">
        <v>6574</v>
      </c>
      <c r="B6579" s="3" t="str">
        <f>"00519721"</f>
        <v>00519721</v>
      </c>
    </row>
    <row r="6580" spans="1:2" x14ac:dyDescent="0.25">
      <c r="A6580" s="4">
        <v>6575</v>
      </c>
      <c r="B6580" s="3" t="str">
        <f>"00519905"</f>
        <v>00519905</v>
      </c>
    </row>
    <row r="6581" spans="1:2" x14ac:dyDescent="0.25">
      <c r="A6581" s="4">
        <v>6576</v>
      </c>
      <c r="B6581" s="3" t="str">
        <f>"00520415"</f>
        <v>00520415</v>
      </c>
    </row>
    <row r="6582" spans="1:2" x14ac:dyDescent="0.25">
      <c r="A6582" s="4">
        <v>6577</v>
      </c>
      <c r="B6582" s="3" t="str">
        <f>"00520575"</f>
        <v>00520575</v>
      </c>
    </row>
    <row r="6583" spans="1:2" x14ac:dyDescent="0.25">
      <c r="A6583" s="4">
        <v>6578</v>
      </c>
      <c r="B6583" s="3" t="str">
        <f>"00520790"</f>
        <v>00520790</v>
      </c>
    </row>
    <row r="6584" spans="1:2" x14ac:dyDescent="0.25">
      <c r="A6584" s="4">
        <v>6579</v>
      </c>
      <c r="B6584" s="3" t="str">
        <f>"00520819"</f>
        <v>00520819</v>
      </c>
    </row>
    <row r="6585" spans="1:2" x14ac:dyDescent="0.25">
      <c r="A6585" s="4">
        <v>6580</v>
      </c>
      <c r="B6585" s="3" t="str">
        <f>"00521489"</f>
        <v>00521489</v>
      </c>
    </row>
    <row r="6586" spans="1:2" x14ac:dyDescent="0.25">
      <c r="A6586" s="4">
        <v>6581</v>
      </c>
      <c r="B6586" s="3" t="str">
        <f>"00521522"</f>
        <v>00521522</v>
      </c>
    </row>
    <row r="6587" spans="1:2" x14ac:dyDescent="0.25">
      <c r="A6587" s="4">
        <v>6582</v>
      </c>
      <c r="B6587" s="3" t="str">
        <f>"00521860"</f>
        <v>00521860</v>
      </c>
    </row>
    <row r="6588" spans="1:2" x14ac:dyDescent="0.25">
      <c r="A6588" s="4">
        <v>6583</v>
      </c>
      <c r="B6588" s="3" t="str">
        <f>"00522014"</f>
        <v>00522014</v>
      </c>
    </row>
    <row r="6589" spans="1:2" x14ac:dyDescent="0.25">
      <c r="A6589" s="4">
        <v>6584</v>
      </c>
      <c r="B6589" s="3" t="str">
        <f>"00522514"</f>
        <v>00522514</v>
      </c>
    </row>
    <row r="6590" spans="1:2" x14ac:dyDescent="0.25">
      <c r="A6590" s="4">
        <v>6585</v>
      </c>
      <c r="B6590" s="3" t="str">
        <f>"00522888"</f>
        <v>00522888</v>
      </c>
    </row>
    <row r="6591" spans="1:2" x14ac:dyDescent="0.25">
      <c r="A6591" s="4">
        <v>6586</v>
      </c>
      <c r="B6591" s="3" t="str">
        <f>"00522926"</f>
        <v>00522926</v>
      </c>
    </row>
    <row r="6592" spans="1:2" x14ac:dyDescent="0.25">
      <c r="A6592" s="4">
        <v>6587</v>
      </c>
      <c r="B6592" s="3" t="str">
        <f>"00523154"</f>
        <v>00523154</v>
      </c>
    </row>
    <row r="6593" spans="1:2" x14ac:dyDescent="0.25">
      <c r="A6593" s="4">
        <v>6588</v>
      </c>
      <c r="B6593" s="3" t="str">
        <f>"00523275"</f>
        <v>00523275</v>
      </c>
    </row>
    <row r="6594" spans="1:2" x14ac:dyDescent="0.25">
      <c r="A6594" s="4">
        <v>6589</v>
      </c>
      <c r="B6594" s="3" t="str">
        <f>"00524887"</f>
        <v>00524887</v>
      </c>
    </row>
    <row r="6595" spans="1:2" x14ac:dyDescent="0.25">
      <c r="A6595" s="4">
        <v>6590</v>
      </c>
      <c r="B6595" s="3" t="str">
        <f>"00524934"</f>
        <v>00524934</v>
      </c>
    </row>
    <row r="6596" spans="1:2" x14ac:dyDescent="0.25">
      <c r="A6596" s="4">
        <v>6591</v>
      </c>
      <c r="B6596" s="3" t="str">
        <f>"00525113"</f>
        <v>00525113</v>
      </c>
    </row>
    <row r="6597" spans="1:2" x14ac:dyDescent="0.25">
      <c r="A6597" s="4">
        <v>6592</v>
      </c>
      <c r="B6597" s="3" t="str">
        <f>"00525570"</f>
        <v>00525570</v>
      </c>
    </row>
    <row r="6598" spans="1:2" x14ac:dyDescent="0.25">
      <c r="A6598" s="4">
        <v>6593</v>
      </c>
      <c r="B6598" s="3" t="str">
        <f>"00526182"</f>
        <v>00526182</v>
      </c>
    </row>
    <row r="6599" spans="1:2" x14ac:dyDescent="0.25">
      <c r="A6599" s="4">
        <v>6594</v>
      </c>
      <c r="B6599" s="3" t="str">
        <f>"00526406"</f>
        <v>00526406</v>
      </c>
    </row>
    <row r="6600" spans="1:2" x14ac:dyDescent="0.25">
      <c r="A6600" s="4">
        <v>6595</v>
      </c>
      <c r="B6600" s="3" t="str">
        <f>"00526632"</f>
        <v>00526632</v>
      </c>
    </row>
    <row r="6601" spans="1:2" x14ac:dyDescent="0.25">
      <c r="A6601" s="4">
        <v>6596</v>
      </c>
      <c r="B6601" s="3" t="str">
        <f>"00527567"</f>
        <v>00527567</v>
      </c>
    </row>
    <row r="6602" spans="1:2" x14ac:dyDescent="0.25">
      <c r="A6602" s="4">
        <v>6597</v>
      </c>
      <c r="B6602" s="3" t="str">
        <f>"00528038"</f>
        <v>00528038</v>
      </c>
    </row>
    <row r="6603" spans="1:2" x14ac:dyDescent="0.25">
      <c r="A6603" s="4">
        <v>6598</v>
      </c>
      <c r="B6603" s="3" t="str">
        <f>"00528124"</f>
        <v>00528124</v>
      </c>
    </row>
    <row r="6604" spans="1:2" x14ac:dyDescent="0.25">
      <c r="A6604" s="4">
        <v>6599</v>
      </c>
      <c r="B6604" s="3" t="str">
        <f>"00528405"</f>
        <v>00528405</v>
      </c>
    </row>
    <row r="6605" spans="1:2" x14ac:dyDescent="0.25">
      <c r="A6605" s="4">
        <v>6600</v>
      </c>
      <c r="B6605" s="3" t="str">
        <f>"00528439"</f>
        <v>00528439</v>
      </c>
    </row>
    <row r="6606" spans="1:2" x14ac:dyDescent="0.25">
      <c r="A6606" s="4">
        <v>6601</v>
      </c>
      <c r="B6606" s="3" t="str">
        <f>"00528758"</f>
        <v>00528758</v>
      </c>
    </row>
    <row r="6607" spans="1:2" x14ac:dyDescent="0.25">
      <c r="A6607" s="4">
        <v>6602</v>
      </c>
      <c r="B6607" s="3" t="str">
        <f>"00528773"</f>
        <v>00528773</v>
      </c>
    </row>
    <row r="6608" spans="1:2" x14ac:dyDescent="0.25">
      <c r="A6608" s="4">
        <v>6603</v>
      </c>
      <c r="B6608" s="3" t="str">
        <f>"00529393"</f>
        <v>00529393</v>
      </c>
    </row>
    <row r="6609" spans="1:2" x14ac:dyDescent="0.25">
      <c r="A6609" s="4">
        <v>6604</v>
      </c>
      <c r="B6609" s="3" t="str">
        <f>"00529475"</f>
        <v>00529475</v>
      </c>
    </row>
    <row r="6610" spans="1:2" x14ac:dyDescent="0.25">
      <c r="A6610" s="4">
        <v>6605</v>
      </c>
      <c r="B6610" s="3" t="str">
        <f>"00529608"</f>
        <v>00529608</v>
      </c>
    </row>
    <row r="6611" spans="1:2" x14ac:dyDescent="0.25">
      <c r="A6611" s="4">
        <v>6606</v>
      </c>
      <c r="B6611" s="3" t="str">
        <f>"00529691"</f>
        <v>00529691</v>
      </c>
    </row>
    <row r="6612" spans="1:2" x14ac:dyDescent="0.25">
      <c r="A6612" s="4">
        <v>6607</v>
      </c>
      <c r="B6612" s="3" t="str">
        <f>"00529885"</f>
        <v>00529885</v>
      </c>
    </row>
    <row r="6613" spans="1:2" x14ac:dyDescent="0.25">
      <c r="A6613" s="4">
        <v>6608</v>
      </c>
      <c r="B6613" s="3" t="str">
        <f>"00530057"</f>
        <v>00530057</v>
      </c>
    </row>
    <row r="6614" spans="1:2" x14ac:dyDescent="0.25">
      <c r="A6614" s="4">
        <v>6609</v>
      </c>
      <c r="B6614" s="3" t="str">
        <f>"00530186"</f>
        <v>00530186</v>
      </c>
    </row>
    <row r="6615" spans="1:2" x14ac:dyDescent="0.25">
      <c r="A6615" s="4">
        <v>6610</v>
      </c>
      <c r="B6615" s="3" t="str">
        <f>"00530206"</f>
        <v>00530206</v>
      </c>
    </row>
    <row r="6616" spans="1:2" x14ac:dyDescent="0.25">
      <c r="A6616" s="4">
        <v>6611</v>
      </c>
      <c r="B6616" s="3" t="str">
        <f>"00530217"</f>
        <v>00530217</v>
      </c>
    </row>
    <row r="6617" spans="1:2" x14ac:dyDescent="0.25">
      <c r="A6617" s="4">
        <v>6612</v>
      </c>
      <c r="B6617" s="3" t="str">
        <f>"00530220"</f>
        <v>00530220</v>
      </c>
    </row>
    <row r="6618" spans="1:2" x14ac:dyDescent="0.25">
      <c r="A6618" s="4">
        <v>6613</v>
      </c>
      <c r="B6618" s="3" t="str">
        <f>"00530313"</f>
        <v>00530313</v>
      </c>
    </row>
    <row r="6619" spans="1:2" x14ac:dyDescent="0.25">
      <c r="A6619" s="4">
        <v>6614</v>
      </c>
      <c r="B6619" s="3" t="str">
        <f>"00530444"</f>
        <v>00530444</v>
      </c>
    </row>
    <row r="6620" spans="1:2" x14ac:dyDescent="0.25">
      <c r="A6620" s="4">
        <v>6615</v>
      </c>
      <c r="B6620" s="3" t="str">
        <f>"00530508"</f>
        <v>00530508</v>
      </c>
    </row>
    <row r="6621" spans="1:2" x14ac:dyDescent="0.25">
      <c r="A6621" s="4">
        <v>6616</v>
      </c>
      <c r="B6621" s="3" t="str">
        <f>"00530664"</f>
        <v>00530664</v>
      </c>
    </row>
    <row r="6622" spans="1:2" x14ac:dyDescent="0.25">
      <c r="A6622" s="4">
        <v>6617</v>
      </c>
      <c r="B6622" s="3" t="str">
        <f>"00530777"</f>
        <v>00530777</v>
      </c>
    </row>
    <row r="6623" spans="1:2" x14ac:dyDescent="0.25">
      <c r="A6623" s="4">
        <v>6618</v>
      </c>
      <c r="B6623" s="3" t="str">
        <f>"00530790"</f>
        <v>00530790</v>
      </c>
    </row>
    <row r="6624" spans="1:2" x14ac:dyDescent="0.25">
      <c r="A6624" s="4">
        <v>6619</v>
      </c>
      <c r="B6624" s="3" t="str">
        <f>"00530875"</f>
        <v>00530875</v>
      </c>
    </row>
    <row r="6625" spans="1:2" x14ac:dyDescent="0.25">
      <c r="A6625" s="4">
        <v>6620</v>
      </c>
      <c r="B6625" s="3" t="str">
        <f>"00530889"</f>
        <v>00530889</v>
      </c>
    </row>
    <row r="6626" spans="1:2" x14ac:dyDescent="0.25">
      <c r="A6626" s="4">
        <v>6621</v>
      </c>
      <c r="B6626" s="3" t="str">
        <f>"00531316"</f>
        <v>00531316</v>
      </c>
    </row>
    <row r="6627" spans="1:2" x14ac:dyDescent="0.25">
      <c r="A6627" s="4">
        <v>6622</v>
      </c>
      <c r="B6627" s="3" t="str">
        <f>"00531536"</f>
        <v>00531536</v>
      </c>
    </row>
    <row r="6628" spans="1:2" x14ac:dyDescent="0.25">
      <c r="A6628" s="4">
        <v>6623</v>
      </c>
      <c r="B6628" s="3" t="str">
        <f>"00531557"</f>
        <v>00531557</v>
      </c>
    </row>
    <row r="6629" spans="1:2" x14ac:dyDescent="0.25">
      <c r="A6629" s="4">
        <v>6624</v>
      </c>
      <c r="B6629" s="3" t="str">
        <f>"00531610"</f>
        <v>00531610</v>
      </c>
    </row>
    <row r="6630" spans="1:2" x14ac:dyDescent="0.25">
      <c r="A6630" s="4">
        <v>6625</v>
      </c>
      <c r="B6630" s="3" t="str">
        <f>"00531614"</f>
        <v>00531614</v>
      </c>
    </row>
    <row r="6631" spans="1:2" x14ac:dyDescent="0.25">
      <c r="A6631" s="4">
        <v>6626</v>
      </c>
      <c r="B6631" s="3" t="str">
        <f>"00531743"</f>
        <v>00531743</v>
      </c>
    </row>
    <row r="6632" spans="1:2" x14ac:dyDescent="0.25">
      <c r="A6632" s="4">
        <v>6627</v>
      </c>
      <c r="B6632" s="3" t="str">
        <f>"00531980"</f>
        <v>00531980</v>
      </c>
    </row>
    <row r="6633" spans="1:2" x14ac:dyDescent="0.25">
      <c r="A6633" s="4">
        <v>6628</v>
      </c>
      <c r="B6633" s="3" t="str">
        <f>"00532046"</f>
        <v>00532046</v>
      </c>
    </row>
    <row r="6634" spans="1:2" x14ac:dyDescent="0.25">
      <c r="A6634" s="4">
        <v>6629</v>
      </c>
      <c r="B6634" s="3" t="str">
        <f>"00532157"</f>
        <v>00532157</v>
      </c>
    </row>
    <row r="6635" spans="1:2" x14ac:dyDescent="0.25">
      <c r="A6635" s="4">
        <v>6630</v>
      </c>
      <c r="B6635" s="3" t="str">
        <f>"00532160"</f>
        <v>00532160</v>
      </c>
    </row>
    <row r="6636" spans="1:2" x14ac:dyDescent="0.25">
      <c r="A6636" s="4">
        <v>6631</v>
      </c>
      <c r="B6636" s="3" t="str">
        <f>"00532163"</f>
        <v>00532163</v>
      </c>
    </row>
    <row r="6637" spans="1:2" x14ac:dyDescent="0.25">
      <c r="A6637" s="4">
        <v>6632</v>
      </c>
      <c r="B6637" s="3" t="str">
        <f>"00532200"</f>
        <v>00532200</v>
      </c>
    </row>
    <row r="6638" spans="1:2" x14ac:dyDescent="0.25">
      <c r="A6638" s="4">
        <v>6633</v>
      </c>
      <c r="B6638" s="3" t="str">
        <f>"00532329"</f>
        <v>00532329</v>
      </c>
    </row>
    <row r="6639" spans="1:2" x14ac:dyDescent="0.25">
      <c r="A6639" s="4">
        <v>6634</v>
      </c>
      <c r="B6639" s="3" t="str">
        <f>"00532347"</f>
        <v>00532347</v>
      </c>
    </row>
    <row r="6640" spans="1:2" x14ac:dyDescent="0.25">
      <c r="A6640" s="4">
        <v>6635</v>
      </c>
      <c r="B6640" s="3" t="str">
        <f>"00532432"</f>
        <v>00532432</v>
      </c>
    </row>
    <row r="6641" spans="1:2" x14ac:dyDescent="0.25">
      <c r="A6641" s="4">
        <v>6636</v>
      </c>
      <c r="B6641" s="3" t="str">
        <f>"00532456"</f>
        <v>00532456</v>
      </c>
    </row>
    <row r="6642" spans="1:2" x14ac:dyDescent="0.25">
      <c r="A6642" s="4">
        <v>6637</v>
      </c>
      <c r="B6642" s="3" t="str">
        <f>"00532470"</f>
        <v>00532470</v>
      </c>
    </row>
    <row r="6643" spans="1:2" x14ac:dyDescent="0.25">
      <c r="A6643" s="4">
        <v>6638</v>
      </c>
      <c r="B6643" s="3" t="str">
        <f>"00532528"</f>
        <v>00532528</v>
      </c>
    </row>
    <row r="6644" spans="1:2" x14ac:dyDescent="0.25">
      <c r="A6644" s="4">
        <v>6639</v>
      </c>
      <c r="B6644" s="3" t="str">
        <f>"00532535"</f>
        <v>00532535</v>
      </c>
    </row>
    <row r="6645" spans="1:2" x14ac:dyDescent="0.25">
      <c r="A6645" s="4">
        <v>6640</v>
      </c>
      <c r="B6645" s="3" t="str">
        <f>"00532665"</f>
        <v>00532665</v>
      </c>
    </row>
    <row r="6646" spans="1:2" x14ac:dyDescent="0.25">
      <c r="A6646" s="4">
        <v>6641</v>
      </c>
      <c r="B6646" s="3" t="str">
        <f>"00532712"</f>
        <v>00532712</v>
      </c>
    </row>
    <row r="6647" spans="1:2" x14ac:dyDescent="0.25">
      <c r="A6647" s="4">
        <v>6642</v>
      </c>
      <c r="B6647" s="3" t="str">
        <f>"00532740"</f>
        <v>00532740</v>
      </c>
    </row>
    <row r="6648" spans="1:2" x14ac:dyDescent="0.25">
      <c r="A6648" s="4">
        <v>6643</v>
      </c>
      <c r="B6648" s="3" t="str">
        <f>"00532753"</f>
        <v>00532753</v>
      </c>
    </row>
    <row r="6649" spans="1:2" x14ac:dyDescent="0.25">
      <c r="A6649" s="4">
        <v>6644</v>
      </c>
      <c r="B6649" s="3" t="str">
        <f>"00532815"</f>
        <v>00532815</v>
      </c>
    </row>
    <row r="6650" spans="1:2" x14ac:dyDescent="0.25">
      <c r="A6650" s="4">
        <v>6645</v>
      </c>
      <c r="B6650" s="3" t="str">
        <f>"00532819"</f>
        <v>00532819</v>
      </c>
    </row>
    <row r="6651" spans="1:2" x14ac:dyDescent="0.25">
      <c r="A6651" s="4">
        <v>6646</v>
      </c>
      <c r="B6651" s="3" t="str">
        <f>"00532934"</f>
        <v>00532934</v>
      </c>
    </row>
    <row r="6652" spans="1:2" x14ac:dyDescent="0.25">
      <c r="A6652" s="4">
        <v>6647</v>
      </c>
      <c r="B6652" s="3" t="str">
        <f>"00533010"</f>
        <v>00533010</v>
      </c>
    </row>
    <row r="6653" spans="1:2" x14ac:dyDescent="0.25">
      <c r="A6653" s="4">
        <v>6648</v>
      </c>
      <c r="B6653" s="3" t="str">
        <f>"00533080"</f>
        <v>00533080</v>
      </c>
    </row>
    <row r="6654" spans="1:2" x14ac:dyDescent="0.25">
      <c r="A6654" s="4">
        <v>6649</v>
      </c>
      <c r="B6654" s="3" t="str">
        <f>"00533163"</f>
        <v>00533163</v>
      </c>
    </row>
    <row r="6655" spans="1:2" x14ac:dyDescent="0.25">
      <c r="A6655" s="4">
        <v>6650</v>
      </c>
      <c r="B6655" s="3" t="str">
        <f>"00533182"</f>
        <v>00533182</v>
      </c>
    </row>
    <row r="6656" spans="1:2" x14ac:dyDescent="0.25">
      <c r="A6656" s="4">
        <v>6651</v>
      </c>
      <c r="B6656" s="3" t="str">
        <f>"00533208"</f>
        <v>00533208</v>
      </c>
    </row>
    <row r="6657" spans="1:2" x14ac:dyDescent="0.25">
      <c r="A6657" s="4">
        <v>6652</v>
      </c>
      <c r="B6657" s="3" t="str">
        <f>"00533219"</f>
        <v>00533219</v>
      </c>
    </row>
    <row r="6658" spans="1:2" x14ac:dyDescent="0.25">
      <c r="A6658" s="4">
        <v>6653</v>
      </c>
      <c r="B6658" s="3" t="str">
        <f>"00533224"</f>
        <v>00533224</v>
      </c>
    </row>
    <row r="6659" spans="1:2" x14ac:dyDescent="0.25">
      <c r="A6659" s="4">
        <v>6654</v>
      </c>
      <c r="B6659" s="3" t="str">
        <f>"00533226"</f>
        <v>00533226</v>
      </c>
    </row>
    <row r="6660" spans="1:2" x14ac:dyDescent="0.25">
      <c r="A6660" s="4">
        <v>6655</v>
      </c>
      <c r="B6660" s="3" t="str">
        <f>"00533227"</f>
        <v>00533227</v>
      </c>
    </row>
    <row r="6661" spans="1:2" x14ac:dyDescent="0.25">
      <c r="A6661" s="4">
        <v>6656</v>
      </c>
      <c r="B6661" s="3" t="str">
        <f>"00533237"</f>
        <v>00533237</v>
      </c>
    </row>
    <row r="6662" spans="1:2" x14ac:dyDescent="0.25">
      <c r="A6662" s="4">
        <v>6657</v>
      </c>
      <c r="B6662" s="3" t="str">
        <f>"00533238"</f>
        <v>00533238</v>
      </c>
    </row>
    <row r="6663" spans="1:2" x14ac:dyDescent="0.25">
      <c r="A6663" s="4">
        <v>6658</v>
      </c>
      <c r="B6663" s="3" t="str">
        <f>"00533244"</f>
        <v>00533244</v>
      </c>
    </row>
    <row r="6664" spans="1:2" x14ac:dyDescent="0.25">
      <c r="A6664" s="4">
        <v>6659</v>
      </c>
      <c r="B6664" s="3" t="str">
        <f>"00533255"</f>
        <v>00533255</v>
      </c>
    </row>
    <row r="6665" spans="1:2" x14ac:dyDescent="0.25">
      <c r="A6665" s="4">
        <v>6660</v>
      </c>
      <c r="B6665" s="3" t="str">
        <f>"00533272"</f>
        <v>00533272</v>
      </c>
    </row>
    <row r="6666" spans="1:2" x14ac:dyDescent="0.25">
      <c r="A6666" s="4">
        <v>6661</v>
      </c>
      <c r="B6666" s="3" t="str">
        <f>"00533276"</f>
        <v>00533276</v>
      </c>
    </row>
    <row r="6667" spans="1:2" x14ac:dyDescent="0.25">
      <c r="A6667" s="4">
        <v>6662</v>
      </c>
      <c r="B6667" s="3" t="str">
        <f>"00533333"</f>
        <v>00533333</v>
      </c>
    </row>
    <row r="6668" spans="1:2" x14ac:dyDescent="0.25">
      <c r="A6668" s="4">
        <v>6663</v>
      </c>
      <c r="B6668" s="3" t="str">
        <f>"00533415"</f>
        <v>00533415</v>
      </c>
    </row>
    <row r="6669" spans="1:2" x14ac:dyDescent="0.25">
      <c r="A6669" s="4">
        <v>6664</v>
      </c>
      <c r="B6669" s="3" t="str">
        <f>"00533456"</f>
        <v>00533456</v>
      </c>
    </row>
    <row r="6670" spans="1:2" x14ac:dyDescent="0.25">
      <c r="A6670" s="4">
        <v>6665</v>
      </c>
      <c r="B6670" s="3" t="str">
        <f>"00533472"</f>
        <v>00533472</v>
      </c>
    </row>
    <row r="6671" spans="1:2" x14ac:dyDescent="0.25">
      <c r="A6671" s="4">
        <v>6666</v>
      </c>
      <c r="B6671" s="3" t="str">
        <f>"00533504"</f>
        <v>00533504</v>
      </c>
    </row>
    <row r="6672" spans="1:2" x14ac:dyDescent="0.25">
      <c r="A6672" s="4">
        <v>6667</v>
      </c>
      <c r="B6672" s="3" t="str">
        <f>"00533522"</f>
        <v>00533522</v>
      </c>
    </row>
    <row r="6673" spans="1:2" x14ac:dyDescent="0.25">
      <c r="A6673" s="4">
        <v>6668</v>
      </c>
      <c r="B6673" s="3" t="str">
        <f>"00533582"</f>
        <v>00533582</v>
      </c>
    </row>
    <row r="6674" spans="1:2" x14ac:dyDescent="0.25">
      <c r="A6674" s="4">
        <v>6669</v>
      </c>
      <c r="B6674" s="3" t="str">
        <f>"00533633"</f>
        <v>00533633</v>
      </c>
    </row>
    <row r="6675" spans="1:2" x14ac:dyDescent="0.25">
      <c r="A6675" s="4">
        <v>6670</v>
      </c>
      <c r="B6675" s="3" t="str">
        <f>"00533697"</f>
        <v>00533697</v>
      </c>
    </row>
    <row r="6676" spans="1:2" x14ac:dyDescent="0.25">
      <c r="A6676" s="4">
        <v>6671</v>
      </c>
      <c r="B6676" s="3" t="str">
        <f>"00533717"</f>
        <v>00533717</v>
      </c>
    </row>
    <row r="6677" spans="1:2" x14ac:dyDescent="0.25">
      <c r="A6677" s="4">
        <v>6672</v>
      </c>
      <c r="B6677" s="3" t="str">
        <f>"00533724"</f>
        <v>00533724</v>
      </c>
    </row>
    <row r="6678" spans="1:2" x14ac:dyDescent="0.25">
      <c r="A6678" s="4">
        <v>6673</v>
      </c>
      <c r="B6678" s="3" t="str">
        <f>"00533730"</f>
        <v>00533730</v>
      </c>
    </row>
    <row r="6679" spans="1:2" x14ac:dyDescent="0.25">
      <c r="A6679" s="4">
        <v>6674</v>
      </c>
      <c r="B6679" s="3" t="str">
        <f>"00533773"</f>
        <v>00533773</v>
      </c>
    </row>
    <row r="6680" spans="1:2" x14ac:dyDescent="0.25">
      <c r="A6680" s="4">
        <v>6675</v>
      </c>
      <c r="B6680" s="3" t="str">
        <f>"00533781"</f>
        <v>00533781</v>
      </c>
    </row>
    <row r="6681" spans="1:2" x14ac:dyDescent="0.25">
      <c r="A6681" s="4">
        <v>6676</v>
      </c>
      <c r="B6681" s="3" t="str">
        <f>"00533821"</f>
        <v>00533821</v>
      </c>
    </row>
    <row r="6682" spans="1:2" x14ac:dyDescent="0.25">
      <c r="A6682" s="4">
        <v>6677</v>
      </c>
      <c r="B6682" s="3" t="str">
        <f>"00533839"</f>
        <v>00533839</v>
      </c>
    </row>
    <row r="6683" spans="1:2" x14ac:dyDescent="0.25">
      <c r="A6683" s="4">
        <v>6678</v>
      </c>
      <c r="B6683" s="3" t="str">
        <f>"00533872"</f>
        <v>00533872</v>
      </c>
    </row>
    <row r="6684" spans="1:2" x14ac:dyDescent="0.25">
      <c r="A6684" s="4">
        <v>6679</v>
      </c>
      <c r="B6684" s="3" t="str">
        <f>"00533888"</f>
        <v>00533888</v>
      </c>
    </row>
    <row r="6685" spans="1:2" x14ac:dyDescent="0.25">
      <c r="A6685" s="4">
        <v>6680</v>
      </c>
      <c r="B6685" s="3" t="str">
        <f>"00533929"</f>
        <v>00533929</v>
      </c>
    </row>
    <row r="6686" spans="1:2" x14ac:dyDescent="0.25">
      <c r="A6686" s="4">
        <v>6681</v>
      </c>
      <c r="B6686" s="3" t="str">
        <f>"00533968"</f>
        <v>00533968</v>
      </c>
    </row>
    <row r="6687" spans="1:2" x14ac:dyDescent="0.25">
      <c r="A6687" s="4">
        <v>6682</v>
      </c>
      <c r="B6687" s="3" t="str">
        <f>"00534079"</f>
        <v>00534079</v>
      </c>
    </row>
    <row r="6688" spans="1:2" x14ac:dyDescent="0.25">
      <c r="A6688" s="4">
        <v>6683</v>
      </c>
      <c r="B6688" s="3" t="str">
        <f>"00534150"</f>
        <v>00534150</v>
      </c>
    </row>
    <row r="6689" spans="1:2" x14ac:dyDescent="0.25">
      <c r="A6689" s="4">
        <v>6684</v>
      </c>
      <c r="B6689" s="3" t="str">
        <f>"00534197"</f>
        <v>00534197</v>
      </c>
    </row>
    <row r="6690" spans="1:2" x14ac:dyDescent="0.25">
      <c r="A6690" s="4">
        <v>6685</v>
      </c>
      <c r="B6690" s="3" t="str">
        <f>"00534217"</f>
        <v>00534217</v>
      </c>
    </row>
    <row r="6691" spans="1:2" x14ac:dyDescent="0.25">
      <c r="A6691" s="4">
        <v>6686</v>
      </c>
      <c r="B6691" s="3" t="str">
        <f>"00534232"</f>
        <v>00534232</v>
      </c>
    </row>
    <row r="6692" spans="1:2" x14ac:dyDescent="0.25">
      <c r="A6692" s="4">
        <v>6687</v>
      </c>
      <c r="B6692" s="3" t="str">
        <f>"00534237"</f>
        <v>00534237</v>
      </c>
    </row>
    <row r="6693" spans="1:2" x14ac:dyDescent="0.25">
      <c r="A6693" s="4">
        <v>6688</v>
      </c>
      <c r="B6693" s="3" t="str">
        <f>"00534257"</f>
        <v>00534257</v>
      </c>
    </row>
    <row r="6694" spans="1:2" x14ac:dyDescent="0.25">
      <c r="A6694" s="4">
        <v>6689</v>
      </c>
      <c r="B6694" s="3" t="str">
        <f>"00534316"</f>
        <v>00534316</v>
      </c>
    </row>
    <row r="6695" spans="1:2" x14ac:dyDescent="0.25">
      <c r="A6695" s="4">
        <v>6690</v>
      </c>
      <c r="B6695" s="3" t="str">
        <f>"00534377"</f>
        <v>00534377</v>
      </c>
    </row>
    <row r="6696" spans="1:2" x14ac:dyDescent="0.25">
      <c r="A6696" s="4">
        <v>6691</v>
      </c>
      <c r="B6696" s="3" t="str">
        <f>"00534423"</f>
        <v>00534423</v>
      </c>
    </row>
    <row r="6697" spans="1:2" x14ac:dyDescent="0.25">
      <c r="A6697" s="4">
        <v>6692</v>
      </c>
      <c r="B6697" s="3" t="str">
        <f>"00534455"</f>
        <v>00534455</v>
      </c>
    </row>
    <row r="6698" spans="1:2" x14ac:dyDescent="0.25">
      <c r="A6698" s="4">
        <v>6693</v>
      </c>
      <c r="B6698" s="3" t="str">
        <f>"00534470"</f>
        <v>00534470</v>
      </c>
    </row>
    <row r="6699" spans="1:2" x14ac:dyDescent="0.25">
      <c r="A6699" s="4">
        <v>6694</v>
      </c>
      <c r="B6699" s="3" t="str">
        <f>"00534474"</f>
        <v>00534474</v>
      </c>
    </row>
    <row r="6700" spans="1:2" x14ac:dyDescent="0.25">
      <c r="A6700" s="4">
        <v>6695</v>
      </c>
      <c r="B6700" s="3" t="str">
        <f>"00534479"</f>
        <v>00534479</v>
      </c>
    </row>
    <row r="6701" spans="1:2" x14ac:dyDescent="0.25">
      <c r="A6701" s="4">
        <v>6696</v>
      </c>
      <c r="B6701" s="3" t="str">
        <f>"00534506"</f>
        <v>00534506</v>
      </c>
    </row>
    <row r="6702" spans="1:2" x14ac:dyDescent="0.25">
      <c r="A6702" s="4">
        <v>6697</v>
      </c>
      <c r="B6702" s="3" t="str">
        <f>"00534514"</f>
        <v>00534514</v>
      </c>
    </row>
    <row r="6703" spans="1:2" x14ac:dyDescent="0.25">
      <c r="A6703" s="4">
        <v>6698</v>
      </c>
      <c r="B6703" s="3" t="str">
        <f>"00534521"</f>
        <v>00534521</v>
      </c>
    </row>
    <row r="6704" spans="1:2" x14ac:dyDescent="0.25">
      <c r="A6704" s="4">
        <v>6699</v>
      </c>
      <c r="B6704" s="3" t="str">
        <f>"00534522"</f>
        <v>00534522</v>
      </c>
    </row>
    <row r="6705" spans="1:2" x14ac:dyDescent="0.25">
      <c r="A6705" s="4">
        <v>6700</v>
      </c>
      <c r="B6705" s="3" t="str">
        <f>"00534588"</f>
        <v>00534588</v>
      </c>
    </row>
    <row r="6706" spans="1:2" x14ac:dyDescent="0.25">
      <c r="A6706" s="4">
        <v>6701</v>
      </c>
      <c r="B6706" s="3" t="str">
        <f>"00534625"</f>
        <v>00534625</v>
      </c>
    </row>
    <row r="6707" spans="1:2" x14ac:dyDescent="0.25">
      <c r="A6707" s="4">
        <v>6702</v>
      </c>
      <c r="B6707" s="3" t="str">
        <f>"00534636"</f>
        <v>00534636</v>
      </c>
    </row>
    <row r="6708" spans="1:2" x14ac:dyDescent="0.25">
      <c r="A6708" s="4">
        <v>6703</v>
      </c>
      <c r="B6708" s="3" t="str">
        <f>"00534644"</f>
        <v>00534644</v>
      </c>
    </row>
    <row r="6709" spans="1:2" x14ac:dyDescent="0.25">
      <c r="A6709" s="4">
        <v>6704</v>
      </c>
      <c r="B6709" s="3" t="str">
        <f>"00534691"</f>
        <v>00534691</v>
      </c>
    </row>
    <row r="6710" spans="1:2" x14ac:dyDescent="0.25">
      <c r="A6710" s="4">
        <v>6705</v>
      </c>
      <c r="B6710" s="3" t="str">
        <f>"00534702"</f>
        <v>00534702</v>
      </c>
    </row>
    <row r="6711" spans="1:2" x14ac:dyDescent="0.25">
      <c r="A6711" s="4">
        <v>6706</v>
      </c>
      <c r="B6711" s="3" t="str">
        <f>"00534734"</f>
        <v>00534734</v>
      </c>
    </row>
    <row r="6712" spans="1:2" x14ac:dyDescent="0.25">
      <c r="A6712" s="4">
        <v>6707</v>
      </c>
      <c r="B6712" s="3" t="str">
        <f>"00534784"</f>
        <v>00534784</v>
      </c>
    </row>
    <row r="6713" spans="1:2" x14ac:dyDescent="0.25">
      <c r="A6713" s="4">
        <v>6708</v>
      </c>
      <c r="B6713" s="3" t="str">
        <f>"00534786"</f>
        <v>00534786</v>
      </c>
    </row>
    <row r="6714" spans="1:2" x14ac:dyDescent="0.25">
      <c r="A6714" s="4">
        <v>6709</v>
      </c>
      <c r="B6714" s="3" t="str">
        <f>"00534798"</f>
        <v>00534798</v>
      </c>
    </row>
    <row r="6715" spans="1:2" x14ac:dyDescent="0.25">
      <c r="A6715" s="4">
        <v>6710</v>
      </c>
      <c r="B6715" s="3" t="str">
        <f>"00534810"</f>
        <v>00534810</v>
      </c>
    </row>
    <row r="6716" spans="1:2" x14ac:dyDescent="0.25">
      <c r="A6716" s="4">
        <v>6711</v>
      </c>
      <c r="B6716" s="3" t="str">
        <f>"00534886"</f>
        <v>00534886</v>
      </c>
    </row>
    <row r="6717" spans="1:2" x14ac:dyDescent="0.25">
      <c r="A6717" s="4">
        <v>6712</v>
      </c>
      <c r="B6717" s="3" t="str">
        <f>"00534904"</f>
        <v>00534904</v>
      </c>
    </row>
    <row r="6718" spans="1:2" x14ac:dyDescent="0.25">
      <c r="A6718" s="4">
        <v>6713</v>
      </c>
      <c r="B6718" s="3" t="str">
        <f>"00534924"</f>
        <v>00534924</v>
      </c>
    </row>
    <row r="6719" spans="1:2" x14ac:dyDescent="0.25">
      <c r="A6719" s="4">
        <v>6714</v>
      </c>
      <c r="B6719" s="3" t="str">
        <f>"00534928"</f>
        <v>00534928</v>
      </c>
    </row>
    <row r="6720" spans="1:2" x14ac:dyDescent="0.25">
      <c r="A6720" s="4">
        <v>6715</v>
      </c>
      <c r="B6720" s="3" t="str">
        <f>"00534939"</f>
        <v>00534939</v>
      </c>
    </row>
    <row r="6721" spans="1:2" x14ac:dyDescent="0.25">
      <c r="A6721" s="4">
        <v>6716</v>
      </c>
      <c r="B6721" s="3" t="str">
        <f>"00534950"</f>
        <v>00534950</v>
      </c>
    </row>
    <row r="6722" spans="1:2" x14ac:dyDescent="0.25">
      <c r="A6722" s="4">
        <v>6717</v>
      </c>
      <c r="B6722" s="3" t="str">
        <f>"00534956"</f>
        <v>00534956</v>
      </c>
    </row>
    <row r="6723" spans="1:2" x14ac:dyDescent="0.25">
      <c r="A6723" s="4">
        <v>6718</v>
      </c>
      <c r="B6723" s="3" t="str">
        <f>"00534986"</f>
        <v>00534986</v>
      </c>
    </row>
    <row r="6724" spans="1:2" x14ac:dyDescent="0.25">
      <c r="A6724" s="4">
        <v>6719</v>
      </c>
      <c r="B6724" s="3" t="str">
        <f>"00535010"</f>
        <v>00535010</v>
      </c>
    </row>
    <row r="6725" spans="1:2" x14ac:dyDescent="0.25">
      <c r="A6725" s="4">
        <v>6720</v>
      </c>
      <c r="B6725" s="3" t="str">
        <f>"00535060"</f>
        <v>00535060</v>
      </c>
    </row>
    <row r="6726" spans="1:2" x14ac:dyDescent="0.25">
      <c r="A6726" s="4">
        <v>6721</v>
      </c>
      <c r="B6726" s="3" t="str">
        <f>"00535104"</f>
        <v>00535104</v>
      </c>
    </row>
    <row r="6727" spans="1:2" x14ac:dyDescent="0.25">
      <c r="A6727" s="4">
        <v>6722</v>
      </c>
      <c r="B6727" s="3" t="str">
        <f>"00535262"</f>
        <v>00535262</v>
      </c>
    </row>
    <row r="6728" spans="1:2" x14ac:dyDescent="0.25">
      <c r="A6728" s="4">
        <v>6723</v>
      </c>
      <c r="B6728" s="3" t="str">
        <f>"00535311"</f>
        <v>00535311</v>
      </c>
    </row>
    <row r="6729" spans="1:2" x14ac:dyDescent="0.25">
      <c r="A6729" s="4">
        <v>6724</v>
      </c>
      <c r="B6729" s="3" t="str">
        <f>"00535317"</f>
        <v>00535317</v>
      </c>
    </row>
    <row r="6730" spans="1:2" x14ac:dyDescent="0.25">
      <c r="A6730" s="4">
        <v>6725</v>
      </c>
      <c r="B6730" s="3" t="str">
        <f>"00535321"</f>
        <v>00535321</v>
      </c>
    </row>
    <row r="6731" spans="1:2" x14ac:dyDescent="0.25">
      <c r="A6731" s="4">
        <v>6726</v>
      </c>
      <c r="B6731" s="3" t="str">
        <f>"00535325"</f>
        <v>00535325</v>
      </c>
    </row>
    <row r="6732" spans="1:2" x14ac:dyDescent="0.25">
      <c r="A6732" s="4">
        <v>6727</v>
      </c>
      <c r="B6732" s="3" t="str">
        <f>"00535408"</f>
        <v>00535408</v>
      </c>
    </row>
    <row r="6733" spans="1:2" x14ac:dyDescent="0.25">
      <c r="A6733" s="4">
        <v>6728</v>
      </c>
      <c r="B6733" s="3" t="str">
        <f>"00535410"</f>
        <v>00535410</v>
      </c>
    </row>
    <row r="6734" spans="1:2" x14ac:dyDescent="0.25">
      <c r="A6734" s="4">
        <v>6729</v>
      </c>
      <c r="B6734" s="3" t="str">
        <f>"00535536"</f>
        <v>00535536</v>
      </c>
    </row>
    <row r="6735" spans="1:2" x14ac:dyDescent="0.25">
      <c r="A6735" s="4">
        <v>6730</v>
      </c>
      <c r="B6735" s="3" t="str">
        <f>"00535537"</f>
        <v>00535537</v>
      </c>
    </row>
    <row r="6736" spans="1:2" x14ac:dyDescent="0.25">
      <c r="A6736" s="4">
        <v>6731</v>
      </c>
      <c r="B6736" s="3" t="str">
        <f>"00535608"</f>
        <v>00535608</v>
      </c>
    </row>
    <row r="6737" spans="1:2" x14ac:dyDescent="0.25">
      <c r="A6737" s="4">
        <v>6732</v>
      </c>
      <c r="B6737" s="3" t="str">
        <f>"00535628"</f>
        <v>00535628</v>
      </c>
    </row>
    <row r="6738" spans="1:2" x14ac:dyDescent="0.25">
      <c r="A6738" s="4">
        <v>6733</v>
      </c>
      <c r="B6738" s="3" t="str">
        <f>"00535629"</f>
        <v>00535629</v>
      </c>
    </row>
    <row r="6739" spans="1:2" x14ac:dyDescent="0.25">
      <c r="A6739" s="4">
        <v>6734</v>
      </c>
      <c r="B6739" s="3" t="str">
        <f>"00535653"</f>
        <v>00535653</v>
      </c>
    </row>
    <row r="6740" spans="1:2" x14ac:dyDescent="0.25">
      <c r="A6740" s="4">
        <v>6735</v>
      </c>
      <c r="B6740" s="3" t="str">
        <f>"00535807"</f>
        <v>00535807</v>
      </c>
    </row>
    <row r="6741" spans="1:2" x14ac:dyDescent="0.25">
      <c r="A6741" s="4">
        <v>6736</v>
      </c>
      <c r="B6741" s="3" t="str">
        <f>"00535847"</f>
        <v>00535847</v>
      </c>
    </row>
    <row r="6742" spans="1:2" x14ac:dyDescent="0.25">
      <c r="A6742" s="4">
        <v>6737</v>
      </c>
      <c r="B6742" s="3" t="str">
        <f>"00535849"</f>
        <v>00535849</v>
      </c>
    </row>
    <row r="6743" spans="1:2" x14ac:dyDescent="0.25">
      <c r="A6743" s="4">
        <v>6738</v>
      </c>
      <c r="B6743" s="3" t="str">
        <f>"00535850"</f>
        <v>00535850</v>
      </c>
    </row>
    <row r="6744" spans="1:2" x14ac:dyDescent="0.25">
      <c r="A6744" s="4">
        <v>6739</v>
      </c>
      <c r="B6744" s="3" t="str">
        <f>"00535886"</f>
        <v>00535886</v>
      </c>
    </row>
    <row r="6745" spans="1:2" x14ac:dyDescent="0.25">
      <c r="A6745" s="4">
        <v>6740</v>
      </c>
      <c r="B6745" s="3" t="str">
        <f>"00536037"</f>
        <v>00536037</v>
      </c>
    </row>
    <row r="6746" spans="1:2" x14ac:dyDescent="0.25">
      <c r="A6746" s="4">
        <v>6741</v>
      </c>
      <c r="B6746" s="3" t="str">
        <f>"00536113"</f>
        <v>00536113</v>
      </c>
    </row>
    <row r="6747" spans="1:2" x14ac:dyDescent="0.25">
      <c r="A6747" s="4">
        <v>6742</v>
      </c>
      <c r="B6747" s="3" t="str">
        <f>"00536163"</f>
        <v>00536163</v>
      </c>
    </row>
    <row r="6748" spans="1:2" x14ac:dyDescent="0.25">
      <c r="A6748" s="4">
        <v>6743</v>
      </c>
      <c r="B6748" s="3" t="str">
        <f>"00536173"</f>
        <v>00536173</v>
      </c>
    </row>
    <row r="6749" spans="1:2" x14ac:dyDescent="0.25">
      <c r="A6749" s="4">
        <v>6744</v>
      </c>
      <c r="B6749" s="3" t="str">
        <f>"00536220"</f>
        <v>00536220</v>
      </c>
    </row>
    <row r="6750" spans="1:2" x14ac:dyDescent="0.25">
      <c r="A6750" s="4">
        <v>6745</v>
      </c>
      <c r="B6750" s="3" t="str">
        <f>"00536262"</f>
        <v>00536262</v>
      </c>
    </row>
    <row r="6751" spans="1:2" x14ac:dyDescent="0.25">
      <c r="A6751" s="4">
        <v>6746</v>
      </c>
      <c r="B6751" s="3" t="str">
        <f>"00536281"</f>
        <v>00536281</v>
      </c>
    </row>
    <row r="6752" spans="1:2" x14ac:dyDescent="0.25">
      <c r="A6752" s="4">
        <v>6747</v>
      </c>
      <c r="B6752" s="3" t="str">
        <f>"00536364"</f>
        <v>00536364</v>
      </c>
    </row>
    <row r="6753" spans="1:2" x14ac:dyDescent="0.25">
      <c r="A6753" s="4">
        <v>6748</v>
      </c>
      <c r="B6753" s="3" t="str">
        <f>"00536423"</f>
        <v>00536423</v>
      </c>
    </row>
    <row r="6754" spans="1:2" x14ac:dyDescent="0.25">
      <c r="A6754" s="4">
        <v>6749</v>
      </c>
      <c r="B6754" s="3" t="str">
        <f>"00536443"</f>
        <v>00536443</v>
      </c>
    </row>
    <row r="6755" spans="1:2" x14ac:dyDescent="0.25">
      <c r="A6755" s="4">
        <v>6750</v>
      </c>
      <c r="B6755" s="3" t="str">
        <f>"00536479"</f>
        <v>00536479</v>
      </c>
    </row>
    <row r="6756" spans="1:2" x14ac:dyDescent="0.25">
      <c r="A6756" s="4">
        <v>6751</v>
      </c>
      <c r="B6756" s="3" t="str">
        <f>"00536496"</f>
        <v>00536496</v>
      </c>
    </row>
    <row r="6757" spans="1:2" x14ac:dyDescent="0.25">
      <c r="A6757" s="4">
        <v>6752</v>
      </c>
      <c r="B6757" s="3" t="str">
        <f>"00536513"</f>
        <v>00536513</v>
      </c>
    </row>
    <row r="6758" spans="1:2" x14ac:dyDescent="0.25">
      <c r="A6758" s="4">
        <v>6753</v>
      </c>
      <c r="B6758" s="3" t="str">
        <f>"00536523"</f>
        <v>00536523</v>
      </c>
    </row>
    <row r="6759" spans="1:2" x14ac:dyDescent="0.25">
      <c r="A6759" s="4">
        <v>6754</v>
      </c>
      <c r="B6759" s="3" t="str">
        <f>"00536532"</f>
        <v>00536532</v>
      </c>
    </row>
    <row r="6760" spans="1:2" x14ac:dyDescent="0.25">
      <c r="A6760" s="4">
        <v>6755</v>
      </c>
      <c r="B6760" s="3" t="str">
        <f>"00536534"</f>
        <v>00536534</v>
      </c>
    </row>
    <row r="6761" spans="1:2" x14ac:dyDescent="0.25">
      <c r="A6761" s="4">
        <v>6756</v>
      </c>
      <c r="B6761" s="3" t="str">
        <f>"00536537"</f>
        <v>00536537</v>
      </c>
    </row>
    <row r="6762" spans="1:2" x14ac:dyDescent="0.25">
      <c r="A6762" s="4">
        <v>6757</v>
      </c>
      <c r="B6762" s="3" t="str">
        <f>"00536544"</f>
        <v>00536544</v>
      </c>
    </row>
    <row r="6763" spans="1:2" x14ac:dyDescent="0.25">
      <c r="A6763" s="4">
        <v>6758</v>
      </c>
      <c r="B6763" s="3" t="str">
        <f>"00536664"</f>
        <v>00536664</v>
      </c>
    </row>
    <row r="6764" spans="1:2" x14ac:dyDescent="0.25">
      <c r="A6764" s="4">
        <v>6759</v>
      </c>
      <c r="B6764" s="3" t="str">
        <f>"00536678"</f>
        <v>00536678</v>
      </c>
    </row>
    <row r="6765" spans="1:2" x14ac:dyDescent="0.25">
      <c r="A6765" s="4">
        <v>6760</v>
      </c>
      <c r="B6765" s="3" t="str">
        <f>"00536680"</f>
        <v>00536680</v>
      </c>
    </row>
    <row r="6766" spans="1:2" x14ac:dyDescent="0.25">
      <c r="A6766" s="4">
        <v>6761</v>
      </c>
      <c r="B6766" s="3" t="str">
        <f>"00536723"</f>
        <v>00536723</v>
      </c>
    </row>
    <row r="6767" spans="1:2" x14ac:dyDescent="0.25">
      <c r="A6767" s="4">
        <v>6762</v>
      </c>
      <c r="B6767" s="3" t="str">
        <f>"00536836"</f>
        <v>00536836</v>
      </c>
    </row>
    <row r="6768" spans="1:2" x14ac:dyDescent="0.25">
      <c r="A6768" s="4">
        <v>6763</v>
      </c>
      <c r="B6768" s="3" t="str">
        <f>"00536848"</f>
        <v>00536848</v>
      </c>
    </row>
    <row r="6769" spans="1:2" x14ac:dyDescent="0.25">
      <c r="A6769" s="4">
        <v>6764</v>
      </c>
      <c r="B6769" s="3" t="str">
        <f>"00536880"</f>
        <v>00536880</v>
      </c>
    </row>
    <row r="6770" spans="1:2" x14ac:dyDescent="0.25">
      <c r="A6770" s="4">
        <v>6765</v>
      </c>
      <c r="B6770" s="3" t="str">
        <f>"00536892"</f>
        <v>00536892</v>
      </c>
    </row>
    <row r="6771" spans="1:2" x14ac:dyDescent="0.25">
      <c r="A6771" s="4">
        <v>6766</v>
      </c>
      <c r="B6771" s="3" t="str">
        <f>"00536915"</f>
        <v>00536915</v>
      </c>
    </row>
    <row r="6772" spans="1:2" x14ac:dyDescent="0.25">
      <c r="A6772" s="4">
        <v>6767</v>
      </c>
      <c r="B6772" s="3" t="str">
        <f>"00536932"</f>
        <v>00536932</v>
      </c>
    </row>
    <row r="6773" spans="1:2" x14ac:dyDescent="0.25">
      <c r="A6773" s="4">
        <v>6768</v>
      </c>
      <c r="B6773" s="3" t="str">
        <f>"00536942"</f>
        <v>00536942</v>
      </c>
    </row>
    <row r="6774" spans="1:2" x14ac:dyDescent="0.25">
      <c r="A6774" s="4">
        <v>6769</v>
      </c>
      <c r="B6774" s="3" t="str">
        <f>"00536968"</f>
        <v>00536968</v>
      </c>
    </row>
    <row r="6775" spans="1:2" x14ac:dyDescent="0.25">
      <c r="A6775" s="4">
        <v>6770</v>
      </c>
      <c r="B6775" s="3" t="str">
        <f>"00537094"</f>
        <v>00537094</v>
      </c>
    </row>
    <row r="6776" spans="1:2" x14ac:dyDescent="0.25">
      <c r="A6776" s="4">
        <v>6771</v>
      </c>
      <c r="B6776" s="3" t="str">
        <f>"00537113"</f>
        <v>00537113</v>
      </c>
    </row>
    <row r="6777" spans="1:2" x14ac:dyDescent="0.25">
      <c r="A6777" s="4">
        <v>6772</v>
      </c>
      <c r="B6777" s="3" t="str">
        <f>"00537114"</f>
        <v>00537114</v>
      </c>
    </row>
    <row r="6778" spans="1:2" x14ac:dyDescent="0.25">
      <c r="A6778" s="4">
        <v>6773</v>
      </c>
      <c r="B6778" s="3" t="str">
        <f>"00537122"</f>
        <v>00537122</v>
      </c>
    </row>
    <row r="6779" spans="1:2" x14ac:dyDescent="0.25">
      <c r="A6779" s="4">
        <v>6774</v>
      </c>
      <c r="B6779" s="3" t="str">
        <f>"00537151"</f>
        <v>00537151</v>
      </c>
    </row>
    <row r="6780" spans="1:2" x14ac:dyDescent="0.25">
      <c r="A6780" s="4">
        <v>6775</v>
      </c>
      <c r="B6780" s="3" t="str">
        <f>"00537171"</f>
        <v>00537171</v>
      </c>
    </row>
    <row r="6781" spans="1:2" x14ac:dyDescent="0.25">
      <c r="A6781" s="4">
        <v>6776</v>
      </c>
      <c r="B6781" s="3" t="str">
        <f>"00537198"</f>
        <v>00537198</v>
      </c>
    </row>
    <row r="6782" spans="1:2" x14ac:dyDescent="0.25">
      <c r="A6782" s="4">
        <v>6777</v>
      </c>
      <c r="B6782" s="3" t="str">
        <f>"00537251"</f>
        <v>00537251</v>
      </c>
    </row>
    <row r="6783" spans="1:2" x14ac:dyDescent="0.25">
      <c r="A6783" s="4">
        <v>6778</v>
      </c>
      <c r="B6783" s="3" t="str">
        <f>"00537271"</f>
        <v>00537271</v>
      </c>
    </row>
    <row r="6784" spans="1:2" x14ac:dyDescent="0.25">
      <c r="A6784" s="4">
        <v>6779</v>
      </c>
      <c r="B6784" s="3" t="str">
        <f>"00537274"</f>
        <v>00537274</v>
      </c>
    </row>
    <row r="6785" spans="1:2" x14ac:dyDescent="0.25">
      <c r="A6785" s="4">
        <v>6780</v>
      </c>
      <c r="B6785" s="3" t="str">
        <f>"00537301"</f>
        <v>00537301</v>
      </c>
    </row>
    <row r="6786" spans="1:2" x14ac:dyDescent="0.25">
      <c r="A6786" s="4">
        <v>6781</v>
      </c>
      <c r="B6786" s="3" t="str">
        <f>"00537316"</f>
        <v>00537316</v>
      </c>
    </row>
    <row r="6787" spans="1:2" x14ac:dyDescent="0.25">
      <c r="A6787" s="4">
        <v>6782</v>
      </c>
      <c r="B6787" s="3" t="str">
        <f>"00537355"</f>
        <v>00537355</v>
      </c>
    </row>
    <row r="6788" spans="1:2" x14ac:dyDescent="0.25">
      <c r="A6788" s="4">
        <v>6783</v>
      </c>
      <c r="B6788" s="3" t="str">
        <f>"00537405"</f>
        <v>00537405</v>
      </c>
    </row>
    <row r="6789" spans="1:2" x14ac:dyDescent="0.25">
      <c r="A6789" s="4">
        <v>6784</v>
      </c>
      <c r="B6789" s="3" t="str">
        <f>"00537420"</f>
        <v>00537420</v>
      </c>
    </row>
    <row r="6790" spans="1:2" x14ac:dyDescent="0.25">
      <c r="A6790" s="4">
        <v>6785</v>
      </c>
      <c r="B6790" s="3" t="str">
        <f>"00537431"</f>
        <v>00537431</v>
      </c>
    </row>
    <row r="6791" spans="1:2" x14ac:dyDescent="0.25">
      <c r="A6791" s="4">
        <v>6786</v>
      </c>
      <c r="B6791" s="3" t="str">
        <f>"00537434"</f>
        <v>00537434</v>
      </c>
    </row>
    <row r="6792" spans="1:2" x14ac:dyDescent="0.25">
      <c r="A6792" s="4">
        <v>6787</v>
      </c>
      <c r="B6792" s="3" t="str">
        <f>"00537437"</f>
        <v>00537437</v>
      </c>
    </row>
    <row r="6793" spans="1:2" x14ac:dyDescent="0.25">
      <c r="A6793" s="4">
        <v>6788</v>
      </c>
      <c r="B6793" s="3" t="str">
        <f>"00537451"</f>
        <v>00537451</v>
      </c>
    </row>
    <row r="6794" spans="1:2" x14ac:dyDescent="0.25">
      <c r="A6794" s="4">
        <v>6789</v>
      </c>
      <c r="B6794" s="3" t="str">
        <f>"00537458"</f>
        <v>00537458</v>
      </c>
    </row>
    <row r="6795" spans="1:2" x14ac:dyDescent="0.25">
      <c r="A6795" s="4">
        <v>6790</v>
      </c>
      <c r="B6795" s="3" t="str">
        <f>"00537495"</f>
        <v>00537495</v>
      </c>
    </row>
    <row r="6796" spans="1:2" x14ac:dyDescent="0.25">
      <c r="A6796" s="4">
        <v>6791</v>
      </c>
      <c r="B6796" s="3" t="str">
        <f>"00537512"</f>
        <v>00537512</v>
      </c>
    </row>
    <row r="6797" spans="1:2" x14ac:dyDescent="0.25">
      <c r="A6797" s="4">
        <v>6792</v>
      </c>
      <c r="B6797" s="3" t="str">
        <f>"00537517"</f>
        <v>00537517</v>
      </c>
    </row>
    <row r="6798" spans="1:2" x14ac:dyDescent="0.25">
      <c r="A6798" s="4">
        <v>6793</v>
      </c>
      <c r="B6798" s="3" t="str">
        <f>"00537597"</f>
        <v>00537597</v>
      </c>
    </row>
    <row r="6799" spans="1:2" x14ac:dyDescent="0.25">
      <c r="A6799" s="4">
        <v>6794</v>
      </c>
      <c r="B6799" s="3" t="str">
        <f>"00537608"</f>
        <v>00537608</v>
      </c>
    </row>
    <row r="6800" spans="1:2" x14ac:dyDescent="0.25">
      <c r="A6800" s="4">
        <v>6795</v>
      </c>
      <c r="B6800" s="3" t="str">
        <f>"00537653"</f>
        <v>00537653</v>
      </c>
    </row>
    <row r="6801" spans="1:2" x14ac:dyDescent="0.25">
      <c r="A6801" s="4">
        <v>6796</v>
      </c>
      <c r="B6801" s="3" t="str">
        <f>"00537696"</f>
        <v>00537696</v>
      </c>
    </row>
    <row r="6802" spans="1:2" x14ac:dyDescent="0.25">
      <c r="A6802" s="4">
        <v>6797</v>
      </c>
      <c r="B6802" s="3" t="str">
        <f>"00537756"</f>
        <v>00537756</v>
      </c>
    </row>
    <row r="6803" spans="1:2" x14ac:dyDescent="0.25">
      <c r="A6803" s="4">
        <v>6798</v>
      </c>
      <c r="B6803" s="3" t="str">
        <f>"00537810"</f>
        <v>00537810</v>
      </c>
    </row>
    <row r="6804" spans="1:2" x14ac:dyDescent="0.25">
      <c r="A6804" s="4">
        <v>6799</v>
      </c>
      <c r="B6804" s="3" t="str">
        <f>"00537814"</f>
        <v>00537814</v>
      </c>
    </row>
    <row r="6805" spans="1:2" x14ac:dyDescent="0.25">
      <c r="A6805" s="4">
        <v>6800</v>
      </c>
      <c r="B6805" s="3" t="str">
        <f>"00537817"</f>
        <v>00537817</v>
      </c>
    </row>
    <row r="6806" spans="1:2" x14ac:dyDescent="0.25">
      <c r="A6806" s="4">
        <v>6801</v>
      </c>
      <c r="B6806" s="3" t="str">
        <f>"00537839"</f>
        <v>00537839</v>
      </c>
    </row>
    <row r="6807" spans="1:2" x14ac:dyDescent="0.25">
      <c r="A6807" s="4">
        <v>6802</v>
      </c>
      <c r="B6807" s="3" t="str">
        <f>"00537858"</f>
        <v>00537858</v>
      </c>
    </row>
    <row r="6808" spans="1:2" x14ac:dyDescent="0.25">
      <c r="A6808" s="4">
        <v>6803</v>
      </c>
      <c r="B6808" s="3" t="str">
        <f>"00537884"</f>
        <v>00537884</v>
      </c>
    </row>
    <row r="6809" spans="1:2" x14ac:dyDescent="0.25">
      <c r="A6809" s="4">
        <v>6804</v>
      </c>
      <c r="B6809" s="3" t="str">
        <f>"00537886"</f>
        <v>00537886</v>
      </c>
    </row>
    <row r="6810" spans="1:2" x14ac:dyDescent="0.25">
      <c r="A6810" s="4">
        <v>6805</v>
      </c>
      <c r="B6810" s="3" t="str">
        <f>"00537936"</f>
        <v>00537936</v>
      </c>
    </row>
    <row r="6811" spans="1:2" x14ac:dyDescent="0.25">
      <c r="A6811" s="4">
        <v>6806</v>
      </c>
      <c r="B6811" s="3" t="str">
        <f>"00537954"</f>
        <v>00537954</v>
      </c>
    </row>
    <row r="6812" spans="1:2" x14ac:dyDescent="0.25">
      <c r="A6812" s="4">
        <v>6807</v>
      </c>
      <c r="B6812" s="3" t="str">
        <f>"00537965"</f>
        <v>00537965</v>
      </c>
    </row>
    <row r="6813" spans="1:2" x14ac:dyDescent="0.25">
      <c r="A6813" s="4">
        <v>6808</v>
      </c>
      <c r="B6813" s="3" t="str">
        <f>"00537996"</f>
        <v>00537996</v>
      </c>
    </row>
    <row r="6814" spans="1:2" x14ac:dyDescent="0.25">
      <c r="A6814" s="4">
        <v>6809</v>
      </c>
      <c r="B6814" s="3" t="str">
        <f>"00538048"</f>
        <v>00538048</v>
      </c>
    </row>
    <row r="6815" spans="1:2" x14ac:dyDescent="0.25">
      <c r="A6815" s="4">
        <v>6810</v>
      </c>
      <c r="B6815" s="3" t="str">
        <f>"00538066"</f>
        <v>00538066</v>
      </c>
    </row>
    <row r="6816" spans="1:2" x14ac:dyDescent="0.25">
      <c r="A6816" s="4">
        <v>6811</v>
      </c>
      <c r="B6816" s="3" t="str">
        <f>"00538070"</f>
        <v>00538070</v>
      </c>
    </row>
    <row r="6817" spans="1:2" x14ac:dyDescent="0.25">
      <c r="A6817" s="4">
        <v>6812</v>
      </c>
      <c r="B6817" s="3" t="str">
        <f>"00538099"</f>
        <v>00538099</v>
      </c>
    </row>
    <row r="6818" spans="1:2" x14ac:dyDescent="0.25">
      <c r="A6818" s="4">
        <v>6813</v>
      </c>
      <c r="B6818" s="3" t="str">
        <f>"00538155"</f>
        <v>00538155</v>
      </c>
    </row>
    <row r="6819" spans="1:2" x14ac:dyDescent="0.25">
      <c r="A6819" s="4">
        <v>6814</v>
      </c>
      <c r="B6819" s="3" t="str">
        <f>"00538185"</f>
        <v>00538185</v>
      </c>
    </row>
    <row r="6820" spans="1:2" x14ac:dyDescent="0.25">
      <c r="A6820" s="4">
        <v>6815</v>
      </c>
      <c r="B6820" s="3" t="str">
        <f>"00538215"</f>
        <v>00538215</v>
      </c>
    </row>
    <row r="6821" spans="1:2" x14ac:dyDescent="0.25">
      <c r="A6821" s="4">
        <v>6816</v>
      </c>
      <c r="B6821" s="3" t="str">
        <f>"00538233"</f>
        <v>00538233</v>
      </c>
    </row>
    <row r="6822" spans="1:2" x14ac:dyDescent="0.25">
      <c r="A6822" s="4">
        <v>6817</v>
      </c>
      <c r="B6822" s="3" t="str">
        <f>"00538284"</f>
        <v>00538284</v>
      </c>
    </row>
    <row r="6823" spans="1:2" x14ac:dyDescent="0.25">
      <c r="A6823" s="4">
        <v>6818</v>
      </c>
      <c r="B6823" s="3" t="str">
        <f>"00538321"</f>
        <v>00538321</v>
      </c>
    </row>
    <row r="6824" spans="1:2" x14ac:dyDescent="0.25">
      <c r="A6824" s="4">
        <v>6819</v>
      </c>
      <c r="B6824" s="3" t="str">
        <f>"00538348"</f>
        <v>00538348</v>
      </c>
    </row>
    <row r="6825" spans="1:2" x14ac:dyDescent="0.25">
      <c r="A6825" s="4">
        <v>6820</v>
      </c>
      <c r="B6825" s="3" t="str">
        <f>"00538383"</f>
        <v>00538383</v>
      </c>
    </row>
    <row r="6826" spans="1:2" x14ac:dyDescent="0.25">
      <c r="A6826" s="4">
        <v>6821</v>
      </c>
      <c r="B6826" s="3" t="str">
        <f>"00538385"</f>
        <v>00538385</v>
      </c>
    </row>
    <row r="6827" spans="1:2" x14ac:dyDescent="0.25">
      <c r="A6827" s="4">
        <v>6822</v>
      </c>
      <c r="B6827" s="3" t="str">
        <f>"00538389"</f>
        <v>00538389</v>
      </c>
    </row>
    <row r="6828" spans="1:2" x14ac:dyDescent="0.25">
      <c r="A6828" s="4">
        <v>6823</v>
      </c>
      <c r="B6828" s="3" t="str">
        <f>"00538397"</f>
        <v>00538397</v>
      </c>
    </row>
    <row r="6829" spans="1:2" x14ac:dyDescent="0.25">
      <c r="A6829" s="4">
        <v>6824</v>
      </c>
      <c r="B6829" s="3" t="str">
        <f>"00538430"</f>
        <v>00538430</v>
      </c>
    </row>
    <row r="6830" spans="1:2" x14ac:dyDescent="0.25">
      <c r="A6830" s="4">
        <v>6825</v>
      </c>
      <c r="B6830" s="3" t="str">
        <f>"00538441"</f>
        <v>00538441</v>
      </c>
    </row>
    <row r="6831" spans="1:2" x14ac:dyDescent="0.25">
      <c r="A6831" s="4">
        <v>6826</v>
      </c>
      <c r="B6831" s="3" t="str">
        <f>"00538444"</f>
        <v>00538444</v>
      </c>
    </row>
    <row r="6832" spans="1:2" x14ac:dyDescent="0.25">
      <c r="A6832" s="4">
        <v>6827</v>
      </c>
      <c r="B6832" s="3" t="str">
        <f>"00538527"</f>
        <v>00538527</v>
      </c>
    </row>
    <row r="6833" spans="1:2" x14ac:dyDescent="0.25">
      <c r="A6833" s="4">
        <v>6828</v>
      </c>
      <c r="B6833" s="3" t="str">
        <f>"00538562"</f>
        <v>00538562</v>
      </c>
    </row>
    <row r="6834" spans="1:2" x14ac:dyDescent="0.25">
      <c r="A6834" s="4">
        <v>6829</v>
      </c>
      <c r="B6834" s="3" t="str">
        <f>"00538581"</f>
        <v>00538581</v>
      </c>
    </row>
    <row r="6835" spans="1:2" x14ac:dyDescent="0.25">
      <c r="A6835" s="4">
        <v>6830</v>
      </c>
      <c r="B6835" s="3" t="str">
        <f>"00538610"</f>
        <v>00538610</v>
      </c>
    </row>
    <row r="6836" spans="1:2" x14ac:dyDescent="0.25">
      <c r="A6836" s="4">
        <v>6831</v>
      </c>
      <c r="B6836" s="3" t="str">
        <f>"00538872"</f>
        <v>00538872</v>
      </c>
    </row>
    <row r="6837" spans="1:2" x14ac:dyDescent="0.25">
      <c r="A6837" s="4">
        <v>6832</v>
      </c>
      <c r="B6837" s="3" t="str">
        <f>"00538883"</f>
        <v>00538883</v>
      </c>
    </row>
    <row r="6838" spans="1:2" x14ac:dyDescent="0.25">
      <c r="A6838" s="4">
        <v>6833</v>
      </c>
      <c r="B6838" s="3" t="str">
        <f>"00538914"</f>
        <v>00538914</v>
      </c>
    </row>
    <row r="6839" spans="1:2" x14ac:dyDescent="0.25">
      <c r="A6839" s="4">
        <v>6834</v>
      </c>
      <c r="B6839" s="3" t="str">
        <f>"00538984"</f>
        <v>00538984</v>
      </c>
    </row>
    <row r="6840" spans="1:2" x14ac:dyDescent="0.25">
      <c r="A6840" s="4">
        <v>6835</v>
      </c>
      <c r="B6840" s="3" t="str">
        <f>"00539044"</f>
        <v>00539044</v>
      </c>
    </row>
    <row r="6841" spans="1:2" x14ac:dyDescent="0.25">
      <c r="A6841" s="4">
        <v>6836</v>
      </c>
      <c r="B6841" s="3" t="str">
        <f>"00539100"</f>
        <v>00539100</v>
      </c>
    </row>
    <row r="6842" spans="1:2" x14ac:dyDescent="0.25">
      <c r="A6842" s="4">
        <v>6837</v>
      </c>
      <c r="B6842" s="3" t="str">
        <f>"00539136"</f>
        <v>00539136</v>
      </c>
    </row>
    <row r="6843" spans="1:2" x14ac:dyDescent="0.25">
      <c r="A6843" s="4">
        <v>6838</v>
      </c>
      <c r="B6843" s="3" t="str">
        <f>"00539205"</f>
        <v>00539205</v>
      </c>
    </row>
    <row r="6844" spans="1:2" x14ac:dyDescent="0.25">
      <c r="A6844" s="4">
        <v>6839</v>
      </c>
      <c r="B6844" s="3" t="str">
        <f>"00539268"</f>
        <v>00539268</v>
      </c>
    </row>
    <row r="6845" spans="1:2" x14ac:dyDescent="0.25">
      <c r="A6845" s="4">
        <v>6840</v>
      </c>
      <c r="B6845" s="3" t="str">
        <f>"00539478"</f>
        <v>00539478</v>
      </c>
    </row>
    <row r="6846" spans="1:2" x14ac:dyDescent="0.25">
      <c r="A6846" s="4">
        <v>6841</v>
      </c>
      <c r="B6846" s="3" t="str">
        <f>"00539501"</f>
        <v>00539501</v>
      </c>
    </row>
    <row r="6847" spans="1:2" x14ac:dyDescent="0.25">
      <c r="A6847" s="4">
        <v>6842</v>
      </c>
      <c r="B6847" s="3" t="str">
        <f>"00539502"</f>
        <v>00539502</v>
      </c>
    </row>
    <row r="6848" spans="1:2" x14ac:dyDescent="0.25">
      <c r="A6848" s="4">
        <v>6843</v>
      </c>
      <c r="B6848" s="3" t="str">
        <f>"00539551"</f>
        <v>00539551</v>
      </c>
    </row>
    <row r="6849" spans="1:2" x14ac:dyDescent="0.25">
      <c r="A6849" s="4">
        <v>6844</v>
      </c>
      <c r="B6849" s="3" t="str">
        <f>"00539554"</f>
        <v>00539554</v>
      </c>
    </row>
    <row r="6850" spans="1:2" x14ac:dyDescent="0.25">
      <c r="A6850" s="4">
        <v>6845</v>
      </c>
      <c r="B6850" s="3" t="str">
        <f>"00539574"</f>
        <v>00539574</v>
      </c>
    </row>
    <row r="6851" spans="1:2" x14ac:dyDescent="0.25">
      <c r="A6851" s="4">
        <v>6846</v>
      </c>
      <c r="B6851" s="3" t="str">
        <f>"00539575"</f>
        <v>00539575</v>
      </c>
    </row>
    <row r="6852" spans="1:2" x14ac:dyDescent="0.25">
      <c r="A6852" s="4">
        <v>6847</v>
      </c>
      <c r="B6852" s="3" t="str">
        <f>"00539605"</f>
        <v>00539605</v>
      </c>
    </row>
    <row r="6853" spans="1:2" x14ac:dyDescent="0.25">
      <c r="A6853" s="4">
        <v>6848</v>
      </c>
      <c r="B6853" s="3" t="str">
        <f>"00539632"</f>
        <v>00539632</v>
      </c>
    </row>
    <row r="6854" spans="1:2" x14ac:dyDescent="0.25">
      <c r="A6854" s="4">
        <v>6849</v>
      </c>
      <c r="B6854" s="3" t="str">
        <f>"00539636"</f>
        <v>00539636</v>
      </c>
    </row>
    <row r="6855" spans="1:2" x14ac:dyDescent="0.25">
      <c r="A6855" s="4">
        <v>6850</v>
      </c>
      <c r="B6855" s="3" t="str">
        <f>"00539640"</f>
        <v>00539640</v>
      </c>
    </row>
    <row r="6856" spans="1:2" x14ac:dyDescent="0.25">
      <c r="A6856" s="4">
        <v>6851</v>
      </c>
      <c r="B6856" s="3" t="str">
        <f>"00539655"</f>
        <v>00539655</v>
      </c>
    </row>
    <row r="6857" spans="1:2" x14ac:dyDescent="0.25">
      <c r="A6857" s="4">
        <v>6852</v>
      </c>
      <c r="B6857" s="3" t="str">
        <f>"00539661"</f>
        <v>00539661</v>
      </c>
    </row>
    <row r="6858" spans="1:2" x14ac:dyDescent="0.25">
      <c r="A6858" s="4">
        <v>6853</v>
      </c>
      <c r="B6858" s="3" t="str">
        <f>"00539686"</f>
        <v>00539686</v>
      </c>
    </row>
    <row r="6859" spans="1:2" x14ac:dyDescent="0.25">
      <c r="A6859" s="4">
        <v>6854</v>
      </c>
      <c r="B6859" s="3" t="str">
        <f>"00539711"</f>
        <v>00539711</v>
      </c>
    </row>
    <row r="6860" spans="1:2" x14ac:dyDescent="0.25">
      <c r="A6860" s="4">
        <v>6855</v>
      </c>
      <c r="B6860" s="3" t="str">
        <f>"00539734"</f>
        <v>00539734</v>
      </c>
    </row>
    <row r="6861" spans="1:2" x14ac:dyDescent="0.25">
      <c r="A6861" s="4">
        <v>6856</v>
      </c>
      <c r="B6861" s="3" t="str">
        <f>"00539740"</f>
        <v>00539740</v>
      </c>
    </row>
    <row r="6862" spans="1:2" x14ac:dyDescent="0.25">
      <c r="A6862" s="4">
        <v>6857</v>
      </c>
      <c r="B6862" s="3" t="str">
        <f>"00539747"</f>
        <v>00539747</v>
      </c>
    </row>
    <row r="6863" spans="1:2" x14ac:dyDescent="0.25">
      <c r="A6863" s="4">
        <v>6858</v>
      </c>
      <c r="B6863" s="3" t="str">
        <f>"00539748"</f>
        <v>00539748</v>
      </c>
    </row>
    <row r="6864" spans="1:2" x14ac:dyDescent="0.25">
      <c r="A6864" s="4">
        <v>6859</v>
      </c>
      <c r="B6864" s="3" t="str">
        <f>"00539762"</f>
        <v>00539762</v>
      </c>
    </row>
    <row r="6865" spans="1:2" x14ac:dyDescent="0.25">
      <c r="A6865" s="4">
        <v>6860</v>
      </c>
      <c r="B6865" s="3" t="str">
        <f>"00539795"</f>
        <v>00539795</v>
      </c>
    </row>
    <row r="6866" spans="1:2" x14ac:dyDescent="0.25">
      <c r="A6866" s="4">
        <v>6861</v>
      </c>
      <c r="B6866" s="3" t="str">
        <f>"00539813"</f>
        <v>00539813</v>
      </c>
    </row>
    <row r="6867" spans="1:2" x14ac:dyDescent="0.25">
      <c r="A6867" s="4">
        <v>6862</v>
      </c>
      <c r="B6867" s="3" t="str">
        <f>"00539816"</f>
        <v>00539816</v>
      </c>
    </row>
    <row r="6868" spans="1:2" x14ac:dyDescent="0.25">
      <c r="A6868" s="4">
        <v>6863</v>
      </c>
      <c r="B6868" s="3" t="str">
        <f>"00539823"</f>
        <v>00539823</v>
      </c>
    </row>
    <row r="6869" spans="1:2" x14ac:dyDescent="0.25">
      <c r="A6869" s="4">
        <v>6864</v>
      </c>
      <c r="B6869" s="3" t="str">
        <f>"00539827"</f>
        <v>00539827</v>
      </c>
    </row>
    <row r="6870" spans="1:2" x14ac:dyDescent="0.25">
      <c r="A6870" s="4">
        <v>6865</v>
      </c>
      <c r="B6870" s="3" t="str">
        <f>"00539847"</f>
        <v>00539847</v>
      </c>
    </row>
    <row r="6871" spans="1:2" x14ac:dyDescent="0.25">
      <c r="A6871" s="4">
        <v>6866</v>
      </c>
      <c r="B6871" s="3" t="str">
        <f>"00539852"</f>
        <v>00539852</v>
      </c>
    </row>
    <row r="6872" spans="1:2" x14ac:dyDescent="0.25">
      <c r="A6872" s="4">
        <v>6867</v>
      </c>
      <c r="B6872" s="3" t="str">
        <f>"00539901"</f>
        <v>00539901</v>
      </c>
    </row>
    <row r="6873" spans="1:2" x14ac:dyDescent="0.25">
      <c r="A6873" s="4">
        <v>6868</v>
      </c>
      <c r="B6873" s="3" t="str">
        <f>"00539906"</f>
        <v>00539906</v>
      </c>
    </row>
    <row r="6874" spans="1:2" x14ac:dyDescent="0.25">
      <c r="A6874" s="4">
        <v>6869</v>
      </c>
      <c r="B6874" s="3" t="str">
        <f>"00539910"</f>
        <v>00539910</v>
      </c>
    </row>
    <row r="6875" spans="1:2" x14ac:dyDescent="0.25">
      <c r="A6875" s="4">
        <v>6870</v>
      </c>
      <c r="B6875" s="3" t="str">
        <f>"00539926"</f>
        <v>00539926</v>
      </c>
    </row>
    <row r="6876" spans="1:2" x14ac:dyDescent="0.25">
      <c r="A6876" s="4">
        <v>6871</v>
      </c>
      <c r="B6876" s="3" t="str">
        <f>"00539949"</f>
        <v>00539949</v>
      </c>
    </row>
    <row r="6877" spans="1:2" x14ac:dyDescent="0.25">
      <c r="A6877" s="4">
        <v>6872</v>
      </c>
      <c r="B6877" s="3" t="str">
        <f>"00539952"</f>
        <v>00539952</v>
      </c>
    </row>
    <row r="6878" spans="1:2" x14ac:dyDescent="0.25">
      <c r="A6878" s="4">
        <v>6873</v>
      </c>
      <c r="B6878" s="3" t="str">
        <f>"00539964"</f>
        <v>00539964</v>
      </c>
    </row>
    <row r="6879" spans="1:2" x14ac:dyDescent="0.25">
      <c r="A6879" s="4">
        <v>6874</v>
      </c>
      <c r="B6879" s="3" t="str">
        <f>"00539969"</f>
        <v>00539969</v>
      </c>
    </row>
    <row r="6880" spans="1:2" x14ac:dyDescent="0.25">
      <c r="A6880" s="4">
        <v>6875</v>
      </c>
      <c r="B6880" s="3" t="str">
        <f>"00539970"</f>
        <v>00539970</v>
      </c>
    </row>
    <row r="6881" spans="1:2" x14ac:dyDescent="0.25">
      <c r="A6881" s="4">
        <v>6876</v>
      </c>
      <c r="B6881" s="3" t="str">
        <f>"00539980"</f>
        <v>00539980</v>
      </c>
    </row>
    <row r="6882" spans="1:2" x14ac:dyDescent="0.25">
      <c r="A6882" s="4">
        <v>6877</v>
      </c>
      <c r="B6882" s="3" t="str">
        <f>"00539983"</f>
        <v>00539983</v>
      </c>
    </row>
    <row r="6883" spans="1:2" x14ac:dyDescent="0.25">
      <c r="A6883" s="4">
        <v>6878</v>
      </c>
      <c r="B6883" s="3" t="str">
        <f>"00540019"</f>
        <v>00540019</v>
      </c>
    </row>
    <row r="6884" spans="1:2" x14ac:dyDescent="0.25">
      <c r="A6884" s="4">
        <v>6879</v>
      </c>
      <c r="B6884" s="3" t="str">
        <f>"00540048"</f>
        <v>00540048</v>
      </c>
    </row>
    <row r="6885" spans="1:2" x14ac:dyDescent="0.25">
      <c r="A6885" s="4">
        <v>6880</v>
      </c>
      <c r="B6885" s="3" t="str">
        <f>"00540051"</f>
        <v>00540051</v>
      </c>
    </row>
    <row r="6886" spans="1:2" x14ac:dyDescent="0.25">
      <c r="A6886" s="4">
        <v>6881</v>
      </c>
      <c r="B6886" s="3" t="str">
        <f>"00540083"</f>
        <v>00540083</v>
      </c>
    </row>
    <row r="6887" spans="1:2" x14ac:dyDescent="0.25">
      <c r="A6887" s="4">
        <v>6882</v>
      </c>
      <c r="B6887" s="3" t="str">
        <f>"00540126"</f>
        <v>00540126</v>
      </c>
    </row>
    <row r="6888" spans="1:2" x14ac:dyDescent="0.25">
      <c r="A6888" s="4">
        <v>6883</v>
      </c>
      <c r="B6888" s="3" t="str">
        <f>"00540134"</f>
        <v>00540134</v>
      </c>
    </row>
    <row r="6889" spans="1:2" x14ac:dyDescent="0.25">
      <c r="A6889" s="4">
        <v>6884</v>
      </c>
      <c r="B6889" s="3" t="str">
        <f>"00540146"</f>
        <v>00540146</v>
      </c>
    </row>
    <row r="6890" spans="1:2" x14ac:dyDescent="0.25">
      <c r="A6890" s="4">
        <v>6885</v>
      </c>
      <c r="B6890" s="3" t="str">
        <f>"00540148"</f>
        <v>00540148</v>
      </c>
    </row>
    <row r="6891" spans="1:2" x14ac:dyDescent="0.25">
      <c r="A6891" s="4">
        <v>6886</v>
      </c>
      <c r="B6891" s="3" t="str">
        <f>"00540153"</f>
        <v>00540153</v>
      </c>
    </row>
    <row r="6892" spans="1:2" x14ac:dyDescent="0.25">
      <c r="A6892" s="4">
        <v>6887</v>
      </c>
      <c r="B6892" s="3" t="str">
        <f>"00540161"</f>
        <v>00540161</v>
      </c>
    </row>
    <row r="6893" spans="1:2" x14ac:dyDescent="0.25">
      <c r="A6893" s="4">
        <v>6888</v>
      </c>
      <c r="B6893" s="3" t="str">
        <f>"00540172"</f>
        <v>00540172</v>
      </c>
    </row>
    <row r="6894" spans="1:2" x14ac:dyDescent="0.25">
      <c r="A6894" s="4">
        <v>6889</v>
      </c>
      <c r="B6894" s="3" t="str">
        <f>"00540190"</f>
        <v>00540190</v>
      </c>
    </row>
    <row r="6895" spans="1:2" x14ac:dyDescent="0.25">
      <c r="A6895" s="4">
        <v>6890</v>
      </c>
      <c r="B6895" s="3" t="str">
        <f>"00540194"</f>
        <v>00540194</v>
      </c>
    </row>
    <row r="6896" spans="1:2" x14ac:dyDescent="0.25">
      <c r="A6896" s="4">
        <v>6891</v>
      </c>
      <c r="B6896" s="3" t="str">
        <f>"00540197"</f>
        <v>00540197</v>
      </c>
    </row>
    <row r="6897" spans="1:2" x14ac:dyDescent="0.25">
      <c r="A6897" s="4">
        <v>6892</v>
      </c>
      <c r="B6897" s="3" t="str">
        <f>"00540244"</f>
        <v>00540244</v>
      </c>
    </row>
    <row r="6898" spans="1:2" x14ac:dyDescent="0.25">
      <c r="A6898" s="4">
        <v>6893</v>
      </c>
      <c r="B6898" s="3" t="str">
        <f>"00540245"</f>
        <v>00540245</v>
      </c>
    </row>
    <row r="6899" spans="1:2" x14ac:dyDescent="0.25">
      <c r="A6899" s="4">
        <v>6894</v>
      </c>
      <c r="B6899" s="3" t="str">
        <f>"00540258"</f>
        <v>00540258</v>
      </c>
    </row>
    <row r="6900" spans="1:2" x14ac:dyDescent="0.25">
      <c r="A6900" s="4">
        <v>6895</v>
      </c>
      <c r="B6900" s="3" t="str">
        <f>"00540260"</f>
        <v>00540260</v>
      </c>
    </row>
    <row r="6901" spans="1:2" x14ac:dyDescent="0.25">
      <c r="A6901" s="4">
        <v>6896</v>
      </c>
      <c r="B6901" s="3" t="str">
        <f>"00540271"</f>
        <v>00540271</v>
      </c>
    </row>
    <row r="6902" spans="1:2" x14ac:dyDescent="0.25">
      <c r="A6902" s="4">
        <v>6897</v>
      </c>
      <c r="B6902" s="3" t="str">
        <f>"00540310"</f>
        <v>00540310</v>
      </c>
    </row>
    <row r="6903" spans="1:2" x14ac:dyDescent="0.25">
      <c r="A6903" s="4">
        <v>6898</v>
      </c>
      <c r="B6903" s="3" t="str">
        <f>"00540319"</f>
        <v>00540319</v>
      </c>
    </row>
    <row r="6904" spans="1:2" x14ac:dyDescent="0.25">
      <c r="A6904" s="4">
        <v>6899</v>
      </c>
      <c r="B6904" s="3" t="str">
        <f>"00540321"</f>
        <v>00540321</v>
      </c>
    </row>
    <row r="6905" spans="1:2" x14ac:dyDescent="0.25">
      <c r="A6905" s="4">
        <v>6900</v>
      </c>
      <c r="B6905" s="3" t="str">
        <f>"00540343"</f>
        <v>00540343</v>
      </c>
    </row>
    <row r="6906" spans="1:2" x14ac:dyDescent="0.25">
      <c r="A6906" s="4">
        <v>6901</v>
      </c>
      <c r="B6906" s="3" t="str">
        <f>"00540350"</f>
        <v>00540350</v>
      </c>
    </row>
    <row r="6907" spans="1:2" x14ac:dyDescent="0.25">
      <c r="A6907" s="4">
        <v>6902</v>
      </c>
      <c r="B6907" s="3" t="str">
        <f>"00540361"</f>
        <v>00540361</v>
      </c>
    </row>
    <row r="6908" spans="1:2" x14ac:dyDescent="0.25">
      <c r="A6908" s="4">
        <v>6903</v>
      </c>
      <c r="B6908" s="3" t="str">
        <f>"00540364"</f>
        <v>00540364</v>
      </c>
    </row>
    <row r="6909" spans="1:2" x14ac:dyDescent="0.25">
      <c r="A6909" s="4">
        <v>6904</v>
      </c>
      <c r="B6909" s="3" t="str">
        <f>"00540386"</f>
        <v>00540386</v>
      </c>
    </row>
    <row r="6910" spans="1:2" x14ac:dyDescent="0.25">
      <c r="A6910" s="4">
        <v>6905</v>
      </c>
      <c r="B6910" s="3" t="str">
        <f>"00540434"</f>
        <v>00540434</v>
      </c>
    </row>
    <row r="6911" spans="1:2" x14ac:dyDescent="0.25">
      <c r="A6911" s="4">
        <v>6906</v>
      </c>
      <c r="B6911" s="3" t="str">
        <f>"00540439"</f>
        <v>00540439</v>
      </c>
    </row>
    <row r="6912" spans="1:2" x14ac:dyDescent="0.25">
      <c r="A6912" s="4">
        <v>6907</v>
      </c>
      <c r="B6912" s="3" t="str">
        <f>"00540482"</f>
        <v>00540482</v>
      </c>
    </row>
    <row r="6913" spans="1:2" x14ac:dyDescent="0.25">
      <c r="A6913" s="4">
        <v>6908</v>
      </c>
      <c r="B6913" s="3" t="str">
        <f>"00540487"</f>
        <v>00540487</v>
      </c>
    </row>
    <row r="6914" spans="1:2" x14ac:dyDescent="0.25">
      <c r="A6914" s="4">
        <v>6909</v>
      </c>
      <c r="B6914" s="3" t="str">
        <f>"00540488"</f>
        <v>00540488</v>
      </c>
    </row>
    <row r="6915" spans="1:2" x14ac:dyDescent="0.25">
      <c r="A6915" s="4">
        <v>6910</v>
      </c>
      <c r="B6915" s="3" t="str">
        <f>"00540493"</f>
        <v>00540493</v>
      </c>
    </row>
    <row r="6916" spans="1:2" x14ac:dyDescent="0.25">
      <c r="A6916" s="4">
        <v>6911</v>
      </c>
      <c r="B6916" s="3" t="str">
        <f>"00540507"</f>
        <v>00540507</v>
      </c>
    </row>
    <row r="6917" spans="1:2" x14ac:dyDescent="0.25">
      <c r="A6917" s="4">
        <v>6912</v>
      </c>
      <c r="B6917" s="3" t="str">
        <f>"00540531"</f>
        <v>00540531</v>
      </c>
    </row>
    <row r="6918" spans="1:2" x14ac:dyDescent="0.25">
      <c r="A6918" s="4">
        <v>6913</v>
      </c>
      <c r="B6918" s="3" t="str">
        <f>"00540557"</f>
        <v>00540557</v>
      </c>
    </row>
    <row r="6919" spans="1:2" x14ac:dyDescent="0.25">
      <c r="A6919" s="4">
        <v>6914</v>
      </c>
      <c r="B6919" s="3" t="str">
        <f>"00540560"</f>
        <v>00540560</v>
      </c>
    </row>
    <row r="6920" spans="1:2" x14ac:dyDescent="0.25">
      <c r="A6920" s="4">
        <v>6915</v>
      </c>
      <c r="B6920" s="3" t="str">
        <f>"00540575"</f>
        <v>00540575</v>
      </c>
    </row>
    <row r="6921" spans="1:2" x14ac:dyDescent="0.25">
      <c r="A6921" s="4">
        <v>6916</v>
      </c>
      <c r="B6921" s="3" t="str">
        <f>"00540577"</f>
        <v>00540577</v>
      </c>
    </row>
    <row r="6922" spans="1:2" x14ac:dyDescent="0.25">
      <c r="A6922" s="4">
        <v>6917</v>
      </c>
      <c r="B6922" s="3" t="str">
        <f>"00540598"</f>
        <v>00540598</v>
      </c>
    </row>
    <row r="6923" spans="1:2" x14ac:dyDescent="0.25">
      <c r="A6923" s="4">
        <v>6918</v>
      </c>
      <c r="B6923" s="3" t="str">
        <f>"00540614"</f>
        <v>00540614</v>
      </c>
    </row>
    <row r="6924" spans="1:2" x14ac:dyDescent="0.25">
      <c r="A6924" s="4">
        <v>6919</v>
      </c>
      <c r="B6924" s="3" t="str">
        <f>"00540627"</f>
        <v>00540627</v>
      </c>
    </row>
    <row r="6925" spans="1:2" x14ac:dyDescent="0.25">
      <c r="A6925" s="4">
        <v>6920</v>
      </c>
      <c r="B6925" s="3" t="str">
        <f>"00540631"</f>
        <v>00540631</v>
      </c>
    </row>
    <row r="6926" spans="1:2" x14ac:dyDescent="0.25">
      <c r="A6926" s="4">
        <v>6921</v>
      </c>
      <c r="B6926" s="3" t="str">
        <f>"00540632"</f>
        <v>00540632</v>
      </c>
    </row>
    <row r="6927" spans="1:2" x14ac:dyDescent="0.25">
      <c r="A6927" s="4">
        <v>6922</v>
      </c>
      <c r="B6927" s="3" t="str">
        <f>"00540636"</f>
        <v>00540636</v>
      </c>
    </row>
    <row r="6928" spans="1:2" x14ac:dyDescent="0.25">
      <c r="A6928" s="4">
        <v>6923</v>
      </c>
      <c r="B6928" s="3" t="str">
        <f>"00540644"</f>
        <v>00540644</v>
      </c>
    </row>
    <row r="6929" spans="1:2" x14ac:dyDescent="0.25">
      <c r="A6929" s="4">
        <v>6924</v>
      </c>
      <c r="B6929" s="3" t="str">
        <f>"00540658"</f>
        <v>00540658</v>
      </c>
    </row>
    <row r="6930" spans="1:2" x14ac:dyDescent="0.25">
      <c r="A6930" s="4">
        <v>6925</v>
      </c>
      <c r="B6930" s="3" t="str">
        <f>"00540679"</f>
        <v>00540679</v>
      </c>
    </row>
    <row r="6931" spans="1:2" x14ac:dyDescent="0.25">
      <c r="A6931" s="4">
        <v>6926</v>
      </c>
      <c r="B6931" s="3" t="str">
        <f>"00540726"</f>
        <v>00540726</v>
      </c>
    </row>
    <row r="6932" spans="1:2" x14ac:dyDescent="0.25">
      <c r="A6932" s="4">
        <v>6927</v>
      </c>
      <c r="B6932" s="3" t="str">
        <f>"00540727"</f>
        <v>00540727</v>
      </c>
    </row>
    <row r="6933" spans="1:2" x14ac:dyDescent="0.25">
      <c r="A6933" s="4">
        <v>6928</v>
      </c>
      <c r="B6933" s="3" t="str">
        <f>"00540735"</f>
        <v>00540735</v>
      </c>
    </row>
    <row r="6934" spans="1:2" x14ac:dyDescent="0.25">
      <c r="A6934" s="4">
        <v>6929</v>
      </c>
      <c r="B6934" s="3" t="str">
        <f>"00540785"</f>
        <v>00540785</v>
      </c>
    </row>
    <row r="6935" spans="1:2" x14ac:dyDescent="0.25">
      <c r="A6935" s="4">
        <v>6930</v>
      </c>
      <c r="B6935" s="3" t="str">
        <f>"00540794"</f>
        <v>00540794</v>
      </c>
    </row>
    <row r="6936" spans="1:2" x14ac:dyDescent="0.25">
      <c r="A6936" s="4">
        <v>6931</v>
      </c>
      <c r="B6936" s="3" t="str">
        <f>"00540800"</f>
        <v>00540800</v>
      </c>
    </row>
    <row r="6937" spans="1:2" x14ac:dyDescent="0.25">
      <c r="A6937" s="4">
        <v>6932</v>
      </c>
      <c r="B6937" s="3" t="str">
        <f>"00540829"</f>
        <v>00540829</v>
      </c>
    </row>
    <row r="6938" spans="1:2" x14ac:dyDescent="0.25">
      <c r="A6938" s="4">
        <v>6933</v>
      </c>
      <c r="B6938" s="3" t="str">
        <f>"00540840"</f>
        <v>00540840</v>
      </c>
    </row>
    <row r="6939" spans="1:2" x14ac:dyDescent="0.25">
      <c r="A6939" s="4">
        <v>6934</v>
      </c>
      <c r="B6939" s="3" t="str">
        <f>"00540842"</f>
        <v>00540842</v>
      </c>
    </row>
    <row r="6940" spans="1:2" x14ac:dyDescent="0.25">
      <c r="A6940" s="4">
        <v>6935</v>
      </c>
      <c r="B6940" s="3" t="str">
        <f>"00540859"</f>
        <v>00540859</v>
      </c>
    </row>
    <row r="6941" spans="1:2" x14ac:dyDescent="0.25">
      <c r="A6941" s="4">
        <v>6936</v>
      </c>
      <c r="B6941" s="3" t="str">
        <f>"00540891"</f>
        <v>00540891</v>
      </c>
    </row>
    <row r="6942" spans="1:2" x14ac:dyDescent="0.25">
      <c r="A6942" s="4">
        <v>6937</v>
      </c>
      <c r="B6942" s="3" t="str">
        <f>"00540896"</f>
        <v>00540896</v>
      </c>
    </row>
    <row r="6943" spans="1:2" x14ac:dyDescent="0.25">
      <c r="A6943" s="4">
        <v>6938</v>
      </c>
      <c r="B6943" s="3" t="str">
        <f>"00540914"</f>
        <v>00540914</v>
      </c>
    </row>
    <row r="6944" spans="1:2" x14ac:dyDescent="0.25">
      <c r="A6944" s="4">
        <v>6939</v>
      </c>
      <c r="B6944" s="3" t="str">
        <f>"00540923"</f>
        <v>00540923</v>
      </c>
    </row>
    <row r="6945" spans="1:2" x14ac:dyDescent="0.25">
      <c r="A6945" s="4">
        <v>6940</v>
      </c>
      <c r="B6945" s="3" t="str">
        <f>"00540925"</f>
        <v>00540925</v>
      </c>
    </row>
    <row r="6946" spans="1:2" x14ac:dyDescent="0.25">
      <c r="A6946" s="4">
        <v>6941</v>
      </c>
      <c r="B6946" s="3" t="str">
        <f>"00540930"</f>
        <v>00540930</v>
      </c>
    </row>
    <row r="6947" spans="1:2" x14ac:dyDescent="0.25">
      <c r="A6947" s="4">
        <v>6942</v>
      </c>
      <c r="B6947" s="3" t="str">
        <f>"00540950"</f>
        <v>00540950</v>
      </c>
    </row>
    <row r="6948" spans="1:2" x14ac:dyDescent="0.25">
      <c r="A6948" s="4">
        <v>6943</v>
      </c>
      <c r="B6948" s="3" t="str">
        <f>"00540954"</f>
        <v>00540954</v>
      </c>
    </row>
    <row r="6949" spans="1:2" x14ac:dyDescent="0.25">
      <c r="A6949" s="4">
        <v>6944</v>
      </c>
      <c r="B6949" s="3" t="str">
        <f>"00540959"</f>
        <v>00540959</v>
      </c>
    </row>
    <row r="6950" spans="1:2" x14ac:dyDescent="0.25">
      <c r="A6950" s="4">
        <v>6945</v>
      </c>
      <c r="B6950" s="3" t="str">
        <f>"00540962"</f>
        <v>00540962</v>
      </c>
    </row>
    <row r="6951" spans="1:2" x14ac:dyDescent="0.25">
      <c r="A6951" s="4">
        <v>6946</v>
      </c>
      <c r="B6951" s="3" t="str">
        <f>"00540967"</f>
        <v>00540967</v>
      </c>
    </row>
    <row r="6952" spans="1:2" x14ac:dyDescent="0.25">
      <c r="A6952" s="4">
        <v>6947</v>
      </c>
      <c r="B6952" s="3" t="str">
        <f>"00541115"</f>
        <v>00541115</v>
      </c>
    </row>
    <row r="6953" spans="1:2" x14ac:dyDescent="0.25">
      <c r="A6953" s="4">
        <v>6948</v>
      </c>
      <c r="B6953" s="3" t="str">
        <f>"00541164"</f>
        <v>00541164</v>
      </c>
    </row>
    <row r="6954" spans="1:2" x14ac:dyDescent="0.25">
      <c r="A6954" s="4">
        <v>6949</v>
      </c>
      <c r="B6954" s="3" t="str">
        <f>"00541224"</f>
        <v>00541224</v>
      </c>
    </row>
    <row r="6955" spans="1:2" x14ac:dyDescent="0.25">
      <c r="A6955" s="4">
        <v>6950</v>
      </c>
      <c r="B6955" s="3" t="str">
        <f>"00541225"</f>
        <v>00541225</v>
      </c>
    </row>
    <row r="6956" spans="1:2" x14ac:dyDescent="0.25">
      <c r="A6956" s="4">
        <v>6951</v>
      </c>
      <c r="B6956" s="3" t="str">
        <f>"00541349"</f>
        <v>00541349</v>
      </c>
    </row>
    <row r="6957" spans="1:2" x14ac:dyDescent="0.25">
      <c r="A6957" s="4">
        <v>6952</v>
      </c>
      <c r="B6957" s="3" t="str">
        <f>"00541419"</f>
        <v>00541419</v>
      </c>
    </row>
    <row r="6958" spans="1:2" x14ac:dyDescent="0.25">
      <c r="A6958" s="4">
        <v>6953</v>
      </c>
      <c r="B6958" s="3" t="str">
        <f>"00541441"</f>
        <v>00541441</v>
      </c>
    </row>
    <row r="6959" spans="1:2" x14ac:dyDescent="0.25">
      <c r="A6959" s="4">
        <v>6954</v>
      </c>
      <c r="B6959" s="3" t="str">
        <f>"00541443"</f>
        <v>00541443</v>
      </c>
    </row>
    <row r="6960" spans="1:2" x14ac:dyDescent="0.25">
      <c r="A6960" s="4">
        <v>6955</v>
      </c>
      <c r="B6960" s="3" t="str">
        <f>"00541478"</f>
        <v>00541478</v>
      </c>
    </row>
    <row r="6961" spans="1:2" x14ac:dyDescent="0.25">
      <c r="A6961" s="4">
        <v>6956</v>
      </c>
      <c r="B6961" s="3" t="str">
        <f>"00541483"</f>
        <v>00541483</v>
      </c>
    </row>
    <row r="6962" spans="1:2" x14ac:dyDescent="0.25">
      <c r="A6962" s="4">
        <v>6957</v>
      </c>
      <c r="B6962" s="3" t="str">
        <f>"00541485"</f>
        <v>00541485</v>
      </c>
    </row>
    <row r="6963" spans="1:2" x14ac:dyDescent="0.25">
      <c r="A6963" s="4">
        <v>6958</v>
      </c>
      <c r="B6963" s="3" t="str">
        <f>"00541526"</f>
        <v>00541526</v>
      </c>
    </row>
    <row r="6964" spans="1:2" x14ac:dyDescent="0.25">
      <c r="A6964" s="4">
        <v>6959</v>
      </c>
      <c r="B6964" s="3" t="str">
        <f>"00541565"</f>
        <v>00541565</v>
      </c>
    </row>
    <row r="6965" spans="1:2" x14ac:dyDescent="0.25">
      <c r="A6965" s="4">
        <v>6960</v>
      </c>
      <c r="B6965" s="3" t="str">
        <f>"00541637"</f>
        <v>00541637</v>
      </c>
    </row>
    <row r="6966" spans="1:2" x14ac:dyDescent="0.25">
      <c r="A6966" s="4">
        <v>6961</v>
      </c>
      <c r="B6966" s="3" t="str">
        <f>"00541686"</f>
        <v>00541686</v>
      </c>
    </row>
    <row r="6967" spans="1:2" x14ac:dyDescent="0.25">
      <c r="A6967" s="4">
        <v>6962</v>
      </c>
      <c r="B6967" s="3" t="str">
        <f>"00541840"</f>
        <v>00541840</v>
      </c>
    </row>
    <row r="6968" spans="1:2" x14ac:dyDescent="0.25">
      <c r="A6968" s="4">
        <v>6963</v>
      </c>
      <c r="B6968" s="3" t="str">
        <f>"00541918"</f>
        <v>00541918</v>
      </c>
    </row>
    <row r="6969" spans="1:2" x14ac:dyDescent="0.25">
      <c r="A6969" s="4">
        <v>6964</v>
      </c>
      <c r="B6969" s="3" t="str">
        <f>"00541986"</f>
        <v>00541986</v>
      </c>
    </row>
    <row r="6970" spans="1:2" x14ac:dyDescent="0.25">
      <c r="A6970" s="4">
        <v>6965</v>
      </c>
      <c r="B6970" s="3" t="str">
        <f>"00542030"</f>
        <v>00542030</v>
      </c>
    </row>
    <row r="6971" spans="1:2" x14ac:dyDescent="0.25">
      <c r="A6971" s="4">
        <v>6966</v>
      </c>
      <c r="B6971" s="3" t="str">
        <f>"00542081"</f>
        <v>00542081</v>
      </c>
    </row>
    <row r="6972" spans="1:2" x14ac:dyDescent="0.25">
      <c r="A6972" s="4">
        <v>6967</v>
      </c>
      <c r="B6972" s="3" t="str">
        <f>"00542146"</f>
        <v>00542146</v>
      </c>
    </row>
    <row r="6973" spans="1:2" x14ac:dyDescent="0.25">
      <c r="A6973" s="4">
        <v>6968</v>
      </c>
      <c r="B6973" s="3" t="str">
        <f>"00542222"</f>
        <v>00542222</v>
      </c>
    </row>
    <row r="6974" spans="1:2" x14ac:dyDescent="0.25">
      <c r="A6974" s="4">
        <v>6969</v>
      </c>
      <c r="B6974" s="3" t="str">
        <f>"00542321"</f>
        <v>00542321</v>
      </c>
    </row>
    <row r="6975" spans="1:2" x14ac:dyDescent="0.25">
      <c r="A6975" s="4">
        <v>6970</v>
      </c>
      <c r="B6975" s="3" t="str">
        <f>"00542704"</f>
        <v>00542704</v>
      </c>
    </row>
    <row r="6976" spans="1:2" x14ac:dyDescent="0.25">
      <c r="A6976" s="4">
        <v>6971</v>
      </c>
      <c r="B6976" s="3" t="str">
        <f>"00542764"</f>
        <v>00542764</v>
      </c>
    </row>
    <row r="6977" spans="1:2" x14ac:dyDescent="0.25">
      <c r="A6977" s="4">
        <v>6972</v>
      </c>
      <c r="B6977" s="3" t="str">
        <f>"00542766"</f>
        <v>00542766</v>
      </c>
    </row>
    <row r="6978" spans="1:2" x14ac:dyDescent="0.25">
      <c r="A6978" s="4">
        <v>6973</v>
      </c>
      <c r="B6978" s="3" t="str">
        <f>"00542826"</f>
        <v>00542826</v>
      </c>
    </row>
    <row r="6979" spans="1:2" x14ac:dyDescent="0.25">
      <c r="A6979" s="4">
        <v>6974</v>
      </c>
      <c r="B6979" s="3" t="str">
        <f>"00542960"</f>
        <v>00542960</v>
      </c>
    </row>
    <row r="6980" spans="1:2" x14ac:dyDescent="0.25">
      <c r="A6980" s="4">
        <v>6975</v>
      </c>
      <c r="B6980" s="3" t="str">
        <f>"00542997"</f>
        <v>00542997</v>
      </c>
    </row>
    <row r="6981" spans="1:2" x14ac:dyDescent="0.25">
      <c r="A6981" s="4">
        <v>6976</v>
      </c>
      <c r="B6981" s="3" t="str">
        <f>"00543002"</f>
        <v>00543002</v>
      </c>
    </row>
    <row r="6982" spans="1:2" x14ac:dyDescent="0.25">
      <c r="A6982" s="4">
        <v>6977</v>
      </c>
      <c r="B6982" s="3" t="str">
        <f>"00543116"</f>
        <v>00543116</v>
      </c>
    </row>
    <row r="6983" spans="1:2" x14ac:dyDescent="0.25">
      <c r="A6983" s="4">
        <v>6978</v>
      </c>
      <c r="B6983" s="3" t="str">
        <f>"00543140"</f>
        <v>00543140</v>
      </c>
    </row>
    <row r="6984" spans="1:2" x14ac:dyDescent="0.25">
      <c r="A6984" s="4">
        <v>6979</v>
      </c>
      <c r="B6984" s="3" t="str">
        <f>"00543168"</f>
        <v>00543168</v>
      </c>
    </row>
    <row r="6985" spans="1:2" x14ac:dyDescent="0.25">
      <c r="A6985" s="4">
        <v>6980</v>
      </c>
      <c r="B6985" s="3" t="str">
        <f>"00543368"</f>
        <v>00543368</v>
      </c>
    </row>
    <row r="6986" spans="1:2" x14ac:dyDescent="0.25">
      <c r="A6986" s="4">
        <v>6981</v>
      </c>
      <c r="B6986" s="3" t="str">
        <f>"00543425"</f>
        <v>00543425</v>
      </c>
    </row>
    <row r="6987" spans="1:2" x14ac:dyDescent="0.25">
      <c r="A6987" s="4">
        <v>6982</v>
      </c>
      <c r="B6987" s="3" t="str">
        <f>"00543517"</f>
        <v>00543517</v>
      </c>
    </row>
    <row r="6988" spans="1:2" x14ac:dyDescent="0.25">
      <c r="A6988" s="4">
        <v>6983</v>
      </c>
      <c r="B6988" s="3" t="str">
        <f>"00543543"</f>
        <v>00543543</v>
      </c>
    </row>
    <row r="6989" spans="1:2" x14ac:dyDescent="0.25">
      <c r="A6989" s="4">
        <v>6984</v>
      </c>
      <c r="B6989" s="3" t="str">
        <f>"00543550"</f>
        <v>00543550</v>
      </c>
    </row>
    <row r="6990" spans="1:2" x14ac:dyDescent="0.25">
      <c r="A6990" s="4">
        <v>6985</v>
      </c>
      <c r="B6990" s="3" t="str">
        <f>"00543621"</f>
        <v>00543621</v>
      </c>
    </row>
    <row r="6991" spans="1:2" x14ac:dyDescent="0.25">
      <c r="A6991" s="4">
        <v>6986</v>
      </c>
      <c r="B6991" s="3" t="str">
        <f>"00543690"</f>
        <v>00543690</v>
      </c>
    </row>
    <row r="6992" spans="1:2" x14ac:dyDescent="0.25">
      <c r="A6992" s="4">
        <v>6987</v>
      </c>
      <c r="B6992" s="3" t="str">
        <f>"00543697"</f>
        <v>00543697</v>
      </c>
    </row>
    <row r="6993" spans="1:2" x14ac:dyDescent="0.25">
      <c r="A6993" s="4">
        <v>6988</v>
      </c>
      <c r="B6993" s="3" t="str">
        <f>"00543918"</f>
        <v>00543918</v>
      </c>
    </row>
    <row r="6994" spans="1:2" x14ac:dyDescent="0.25">
      <c r="A6994" s="4">
        <v>6989</v>
      </c>
      <c r="B6994" s="3" t="str">
        <f>"00544181"</f>
        <v>00544181</v>
      </c>
    </row>
    <row r="6995" spans="1:2" x14ac:dyDescent="0.25">
      <c r="A6995" s="4">
        <v>6990</v>
      </c>
      <c r="B6995" s="3" t="str">
        <f>"00544275"</f>
        <v>00544275</v>
      </c>
    </row>
    <row r="6996" spans="1:2" x14ac:dyDescent="0.25">
      <c r="A6996" s="4">
        <v>6991</v>
      </c>
      <c r="B6996" s="3" t="str">
        <f>"00544329"</f>
        <v>00544329</v>
      </c>
    </row>
    <row r="6997" spans="1:2" x14ac:dyDescent="0.25">
      <c r="A6997" s="4">
        <v>6992</v>
      </c>
      <c r="B6997" s="3" t="str">
        <f>"00544368"</f>
        <v>00544368</v>
      </c>
    </row>
    <row r="6998" spans="1:2" x14ac:dyDescent="0.25">
      <c r="A6998" s="4">
        <v>6993</v>
      </c>
      <c r="B6998" s="3" t="str">
        <f>"00544415"</f>
        <v>00544415</v>
      </c>
    </row>
    <row r="6999" spans="1:2" x14ac:dyDescent="0.25">
      <c r="A6999" s="4">
        <v>6994</v>
      </c>
      <c r="B6999" s="3" t="str">
        <f>"00544476"</f>
        <v>00544476</v>
      </c>
    </row>
    <row r="7000" spans="1:2" x14ac:dyDescent="0.25">
      <c r="A7000" s="4">
        <v>6995</v>
      </c>
      <c r="B7000" s="3" t="str">
        <f>"00544502"</f>
        <v>00544502</v>
      </c>
    </row>
    <row r="7001" spans="1:2" x14ac:dyDescent="0.25">
      <c r="A7001" s="4">
        <v>6996</v>
      </c>
      <c r="B7001" s="3" t="str">
        <f>"00544529"</f>
        <v>00544529</v>
      </c>
    </row>
    <row r="7002" spans="1:2" x14ac:dyDescent="0.25">
      <c r="A7002" s="4">
        <v>6997</v>
      </c>
      <c r="B7002" s="3" t="str">
        <f>"00544548"</f>
        <v>00544548</v>
      </c>
    </row>
    <row r="7003" spans="1:2" x14ac:dyDescent="0.25">
      <c r="A7003" s="4">
        <v>6998</v>
      </c>
      <c r="B7003" s="3" t="str">
        <f>"00544560"</f>
        <v>00544560</v>
      </c>
    </row>
    <row r="7004" spans="1:2" x14ac:dyDescent="0.25">
      <c r="A7004" s="4">
        <v>6999</v>
      </c>
      <c r="B7004" s="3" t="str">
        <f>"00544627"</f>
        <v>00544627</v>
      </c>
    </row>
    <row r="7005" spans="1:2" x14ac:dyDescent="0.25">
      <c r="A7005" s="4">
        <v>7000</v>
      </c>
      <c r="B7005" s="3" t="str">
        <f>"00544694"</f>
        <v>00544694</v>
      </c>
    </row>
    <row r="7006" spans="1:2" x14ac:dyDescent="0.25">
      <c r="A7006" s="4">
        <v>7001</v>
      </c>
      <c r="B7006" s="3" t="str">
        <f>"00544841"</f>
        <v>00544841</v>
      </c>
    </row>
    <row r="7007" spans="1:2" x14ac:dyDescent="0.25">
      <c r="A7007" s="4">
        <v>7002</v>
      </c>
      <c r="B7007" s="3" t="str">
        <f>"00544865"</f>
        <v>00544865</v>
      </c>
    </row>
    <row r="7008" spans="1:2" x14ac:dyDescent="0.25">
      <c r="A7008" s="4">
        <v>7003</v>
      </c>
      <c r="B7008" s="3" t="str">
        <f>"00544950"</f>
        <v>00544950</v>
      </c>
    </row>
    <row r="7009" spans="1:2" x14ac:dyDescent="0.25">
      <c r="A7009" s="4">
        <v>7004</v>
      </c>
      <c r="B7009" s="3" t="str">
        <f>"00545033"</f>
        <v>00545033</v>
      </c>
    </row>
    <row r="7010" spans="1:2" x14ac:dyDescent="0.25">
      <c r="A7010" s="4">
        <v>7005</v>
      </c>
      <c r="B7010" s="3" t="str">
        <f>"00545086"</f>
        <v>00545086</v>
      </c>
    </row>
    <row r="7011" spans="1:2" x14ac:dyDescent="0.25">
      <c r="A7011" s="4">
        <v>7006</v>
      </c>
      <c r="B7011" s="3" t="str">
        <f>"00545217"</f>
        <v>00545217</v>
      </c>
    </row>
    <row r="7012" spans="1:2" x14ac:dyDescent="0.25">
      <c r="A7012" s="4">
        <v>7007</v>
      </c>
      <c r="B7012" s="3" t="str">
        <f>"00545331"</f>
        <v>00545331</v>
      </c>
    </row>
    <row r="7013" spans="1:2" x14ac:dyDescent="0.25">
      <c r="A7013" s="4">
        <v>7008</v>
      </c>
      <c r="B7013" s="3" t="str">
        <f>"00545476"</f>
        <v>00545476</v>
      </c>
    </row>
    <row r="7014" spans="1:2" x14ac:dyDescent="0.25">
      <c r="A7014" s="4">
        <v>7009</v>
      </c>
      <c r="B7014" s="3" t="str">
        <f>"00545520"</f>
        <v>00545520</v>
      </c>
    </row>
    <row r="7015" spans="1:2" x14ac:dyDescent="0.25">
      <c r="A7015" s="4">
        <v>7010</v>
      </c>
      <c r="B7015" s="3" t="str">
        <f>"00545523"</f>
        <v>00545523</v>
      </c>
    </row>
    <row r="7016" spans="1:2" x14ac:dyDescent="0.25">
      <c r="A7016" s="4">
        <v>7011</v>
      </c>
      <c r="B7016" s="3" t="str">
        <f>"00545542"</f>
        <v>00545542</v>
      </c>
    </row>
    <row r="7017" spans="1:2" x14ac:dyDescent="0.25">
      <c r="A7017" s="4">
        <v>7012</v>
      </c>
      <c r="B7017" s="3" t="str">
        <f>"00545934"</f>
        <v>00545934</v>
      </c>
    </row>
    <row r="7018" spans="1:2" x14ac:dyDescent="0.25">
      <c r="A7018" s="4">
        <v>7013</v>
      </c>
      <c r="B7018" s="3" t="str">
        <f>"00545955"</f>
        <v>00545955</v>
      </c>
    </row>
    <row r="7019" spans="1:2" x14ac:dyDescent="0.25">
      <c r="A7019" s="4">
        <v>7014</v>
      </c>
      <c r="B7019" s="3" t="str">
        <f>"00545966"</f>
        <v>00545966</v>
      </c>
    </row>
    <row r="7020" spans="1:2" x14ac:dyDescent="0.25">
      <c r="A7020" s="4">
        <v>7015</v>
      </c>
      <c r="B7020" s="3" t="str">
        <f>"00545989"</f>
        <v>00545989</v>
      </c>
    </row>
    <row r="7021" spans="1:2" x14ac:dyDescent="0.25">
      <c r="A7021" s="4">
        <v>7016</v>
      </c>
      <c r="B7021" s="3" t="str">
        <f>"00546043"</f>
        <v>00546043</v>
      </c>
    </row>
    <row r="7022" spans="1:2" x14ac:dyDescent="0.25">
      <c r="A7022" s="4">
        <v>7017</v>
      </c>
      <c r="B7022" s="3" t="str">
        <f>"00546100"</f>
        <v>00546100</v>
      </c>
    </row>
    <row r="7023" spans="1:2" x14ac:dyDescent="0.25">
      <c r="A7023" s="4">
        <v>7018</v>
      </c>
      <c r="B7023" s="3" t="str">
        <f>"00546110"</f>
        <v>00546110</v>
      </c>
    </row>
    <row r="7024" spans="1:2" x14ac:dyDescent="0.25">
      <c r="A7024" s="4">
        <v>7019</v>
      </c>
      <c r="B7024" s="3" t="str">
        <f>"00546169"</f>
        <v>00546169</v>
      </c>
    </row>
    <row r="7025" spans="1:2" x14ac:dyDescent="0.25">
      <c r="A7025" s="4">
        <v>7020</v>
      </c>
      <c r="B7025" s="3" t="str">
        <f>"00546214"</f>
        <v>00546214</v>
      </c>
    </row>
    <row r="7026" spans="1:2" x14ac:dyDescent="0.25">
      <c r="A7026" s="4">
        <v>7021</v>
      </c>
      <c r="B7026" s="3" t="str">
        <f>"00546216"</f>
        <v>00546216</v>
      </c>
    </row>
    <row r="7027" spans="1:2" x14ac:dyDescent="0.25">
      <c r="A7027" s="4">
        <v>7022</v>
      </c>
      <c r="B7027" s="3" t="str">
        <f>"00546278"</f>
        <v>00546278</v>
      </c>
    </row>
    <row r="7028" spans="1:2" x14ac:dyDescent="0.25">
      <c r="A7028" s="4">
        <v>7023</v>
      </c>
      <c r="B7028" s="3" t="str">
        <f>"00546461"</f>
        <v>00546461</v>
      </c>
    </row>
    <row r="7029" spans="1:2" x14ac:dyDescent="0.25">
      <c r="A7029" s="4">
        <v>7024</v>
      </c>
      <c r="B7029" s="3" t="str">
        <f>"00546462"</f>
        <v>00546462</v>
      </c>
    </row>
    <row r="7030" spans="1:2" x14ac:dyDescent="0.25">
      <c r="A7030" s="4">
        <v>7025</v>
      </c>
      <c r="B7030" s="3" t="str">
        <f>"00546471"</f>
        <v>00546471</v>
      </c>
    </row>
    <row r="7031" spans="1:2" x14ac:dyDescent="0.25">
      <c r="A7031" s="4">
        <v>7026</v>
      </c>
      <c r="B7031" s="3" t="str">
        <f>"00546481"</f>
        <v>00546481</v>
      </c>
    </row>
    <row r="7032" spans="1:2" x14ac:dyDescent="0.25">
      <c r="A7032" s="4">
        <v>7027</v>
      </c>
      <c r="B7032" s="3" t="str">
        <f>"00546692"</f>
        <v>00546692</v>
      </c>
    </row>
    <row r="7033" spans="1:2" x14ac:dyDescent="0.25">
      <c r="A7033" s="4">
        <v>7028</v>
      </c>
      <c r="B7033" s="3" t="str">
        <f>"00546726"</f>
        <v>00546726</v>
      </c>
    </row>
    <row r="7034" spans="1:2" x14ac:dyDescent="0.25">
      <c r="A7034" s="4">
        <v>7029</v>
      </c>
      <c r="B7034" s="3" t="str">
        <f>"00546732"</f>
        <v>00546732</v>
      </c>
    </row>
    <row r="7035" spans="1:2" x14ac:dyDescent="0.25">
      <c r="A7035" s="4">
        <v>7030</v>
      </c>
      <c r="B7035" s="3" t="str">
        <f>"00546984"</f>
        <v>00546984</v>
      </c>
    </row>
    <row r="7036" spans="1:2" x14ac:dyDescent="0.25">
      <c r="A7036" s="4">
        <v>7031</v>
      </c>
      <c r="B7036" s="3" t="str">
        <f>"00546994"</f>
        <v>00546994</v>
      </c>
    </row>
    <row r="7037" spans="1:2" x14ac:dyDescent="0.25">
      <c r="A7037" s="4">
        <v>7032</v>
      </c>
      <c r="B7037" s="3" t="str">
        <f>"00547036"</f>
        <v>00547036</v>
      </c>
    </row>
    <row r="7038" spans="1:2" x14ac:dyDescent="0.25">
      <c r="A7038" s="4">
        <v>7033</v>
      </c>
      <c r="B7038" s="3" t="str">
        <f>"00547215"</f>
        <v>00547215</v>
      </c>
    </row>
    <row r="7039" spans="1:2" x14ac:dyDescent="0.25">
      <c r="A7039" s="4">
        <v>7034</v>
      </c>
      <c r="B7039" s="3" t="str">
        <f>"00547327"</f>
        <v>00547327</v>
      </c>
    </row>
    <row r="7040" spans="1:2" x14ac:dyDescent="0.25">
      <c r="A7040" s="4">
        <v>7035</v>
      </c>
      <c r="B7040" s="3" t="str">
        <f>"00547347"</f>
        <v>00547347</v>
      </c>
    </row>
    <row r="7041" spans="1:2" x14ac:dyDescent="0.25">
      <c r="A7041" s="4">
        <v>7036</v>
      </c>
      <c r="B7041" s="3" t="str">
        <f>"00547609"</f>
        <v>00547609</v>
      </c>
    </row>
    <row r="7042" spans="1:2" x14ac:dyDescent="0.25">
      <c r="A7042" s="4">
        <v>7037</v>
      </c>
      <c r="B7042" s="3" t="str">
        <f>"00547681"</f>
        <v>00547681</v>
      </c>
    </row>
    <row r="7043" spans="1:2" x14ac:dyDescent="0.25">
      <c r="A7043" s="4">
        <v>7038</v>
      </c>
      <c r="B7043" s="3" t="str">
        <f>"00547694"</f>
        <v>00547694</v>
      </c>
    </row>
    <row r="7044" spans="1:2" x14ac:dyDescent="0.25">
      <c r="A7044" s="4">
        <v>7039</v>
      </c>
      <c r="B7044" s="3" t="str">
        <f>"00547868"</f>
        <v>00547868</v>
      </c>
    </row>
    <row r="7045" spans="1:2" x14ac:dyDescent="0.25">
      <c r="A7045" s="4">
        <v>7040</v>
      </c>
      <c r="B7045" s="3" t="str">
        <f>"00547869"</f>
        <v>00547869</v>
      </c>
    </row>
    <row r="7046" spans="1:2" x14ac:dyDescent="0.25">
      <c r="A7046" s="4">
        <v>7041</v>
      </c>
      <c r="B7046" s="3" t="str">
        <f>"00548053"</f>
        <v>00548053</v>
      </c>
    </row>
    <row r="7047" spans="1:2" x14ac:dyDescent="0.25">
      <c r="A7047" s="4">
        <v>7042</v>
      </c>
      <c r="B7047" s="3" t="str">
        <f>"00548095"</f>
        <v>00548095</v>
      </c>
    </row>
    <row r="7048" spans="1:2" x14ac:dyDescent="0.25">
      <c r="A7048" s="4">
        <v>7043</v>
      </c>
      <c r="B7048" s="3" t="str">
        <f>"00548143"</f>
        <v>00548143</v>
      </c>
    </row>
    <row r="7049" spans="1:2" x14ac:dyDescent="0.25">
      <c r="A7049" s="4">
        <v>7044</v>
      </c>
      <c r="B7049" s="3" t="str">
        <f>"00548172"</f>
        <v>00548172</v>
      </c>
    </row>
    <row r="7050" spans="1:2" x14ac:dyDescent="0.25">
      <c r="A7050" s="4">
        <v>7045</v>
      </c>
      <c r="B7050" s="3" t="str">
        <f>"00548184"</f>
        <v>00548184</v>
      </c>
    </row>
    <row r="7051" spans="1:2" x14ac:dyDescent="0.25">
      <c r="A7051" s="4">
        <v>7046</v>
      </c>
      <c r="B7051" s="3" t="str">
        <f>"00548214"</f>
        <v>00548214</v>
      </c>
    </row>
    <row r="7052" spans="1:2" x14ac:dyDescent="0.25">
      <c r="A7052" s="4">
        <v>7047</v>
      </c>
      <c r="B7052" s="3" t="str">
        <f>"00548230"</f>
        <v>00548230</v>
      </c>
    </row>
    <row r="7053" spans="1:2" x14ac:dyDescent="0.25">
      <c r="A7053" s="4">
        <v>7048</v>
      </c>
      <c r="B7053" s="3" t="str">
        <f>"00548283"</f>
        <v>00548283</v>
      </c>
    </row>
    <row r="7054" spans="1:2" x14ac:dyDescent="0.25">
      <c r="A7054" s="4">
        <v>7049</v>
      </c>
      <c r="B7054" s="3" t="str">
        <f>"00548335"</f>
        <v>00548335</v>
      </c>
    </row>
    <row r="7055" spans="1:2" x14ac:dyDescent="0.25">
      <c r="A7055" s="4">
        <v>7050</v>
      </c>
      <c r="B7055" s="3" t="str">
        <f>"00548429"</f>
        <v>00548429</v>
      </c>
    </row>
    <row r="7056" spans="1:2" x14ac:dyDescent="0.25">
      <c r="A7056" s="4">
        <v>7051</v>
      </c>
      <c r="B7056" s="3" t="str">
        <f>"00548487"</f>
        <v>00548487</v>
      </c>
    </row>
    <row r="7057" spans="1:2" x14ac:dyDescent="0.25">
      <c r="A7057" s="4">
        <v>7052</v>
      </c>
      <c r="B7057" s="3" t="str">
        <f>"00548699"</f>
        <v>00548699</v>
      </c>
    </row>
    <row r="7058" spans="1:2" x14ac:dyDescent="0.25">
      <c r="A7058" s="4">
        <v>7053</v>
      </c>
      <c r="B7058" s="3" t="str">
        <f>"00548702"</f>
        <v>00548702</v>
      </c>
    </row>
    <row r="7059" spans="1:2" x14ac:dyDescent="0.25">
      <c r="A7059" s="4">
        <v>7054</v>
      </c>
      <c r="B7059" s="3" t="str">
        <f>"00548755"</f>
        <v>00548755</v>
      </c>
    </row>
    <row r="7060" spans="1:2" x14ac:dyDescent="0.25">
      <c r="A7060" s="4">
        <v>7055</v>
      </c>
      <c r="B7060" s="3" t="str">
        <f>"00548761"</f>
        <v>00548761</v>
      </c>
    </row>
    <row r="7061" spans="1:2" x14ac:dyDescent="0.25">
      <c r="A7061" s="4">
        <v>7056</v>
      </c>
      <c r="B7061" s="3" t="str">
        <f>"00548767"</f>
        <v>00548767</v>
      </c>
    </row>
    <row r="7062" spans="1:2" x14ac:dyDescent="0.25">
      <c r="A7062" s="4">
        <v>7057</v>
      </c>
      <c r="B7062" s="3" t="str">
        <f>"00548956"</f>
        <v>00548956</v>
      </c>
    </row>
    <row r="7063" spans="1:2" x14ac:dyDescent="0.25">
      <c r="A7063" s="4">
        <v>7058</v>
      </c>
      <c r="B7063" s="3" t="str">
        <f>"00548968"</f>
        <v>00548968</v>
      </c>
    </row>
    <row r="7064" spans="1:2" x14ac:dyDescent="0.25">
      <c r="A7064" s="4">
        <v>7059</v>
      </c>
      <c r="B7064" s="3" t="str">
        <f>"00549063"</f>
        <v>00549063</v>
      </c>
    </row>
    <row r="7065" spans="1:2" x14ac:dyDescent="0.25">
      <c r="A7065" s="4">
        <v>7060</v>
      </c>
      <c r="B7065" s="3" t="str">
        <f>"00549315"</f>
        <v>00549315</v>
      </c>
    </row>
    <row r="7066" spans="1:2" x14ac:dyDescent="0.25">
      <c r="A7066" s="4">
        <v>7061</v>
      </c>
      <c r="B7066" s="3" t="str">
        <f>"00549342"</f>
        <v>00549342</v>
      </c>
    </row>
    <row r="7067" spans="1:2" x14ac:dyDescent="0.25">
      <c r="A7067" s="4">
        <v>7062</v>
      </c>
      <c r="B7067" s="3" t="str">
        <f>"00549371"</f>
        <v>00549371</v>
      </c>
    </row>
    <row r="7068" spans="1:2" x14ac:dyDescent="0.25">
      <c r="A7068" s="4">
        <v>7063</v>
      </c>
      <c r="B7068" s="3" t="str">
        <f>"00549419"</f>
        <v>00549419</v>
      </c>
    </row>
    <row r="7069" spans="1:2" x14ac:dyDescent="0.25">
      <c r="A7069" s="4">
        <v>7064</v>
      </c>
      <c r="B7069" s="3" t="str">
        <f>"00549440"</f>
        <v>00549440</v>
      </c>
    </row>
    <row r="7070" spans="1:2" x14ac:dyDescent="0.25">
      <c r="A7070" s="4">
        <v>7065</v>
      </c>
      <c r="B7070" s="3" t="str">
        <f>"00549525"</f>
        <v>00549525</v>
      </c>
    </row>
    <row r="7071" spans="1:2" x14ac:dyDescent="0.25">
      <c r="A7071" s="4">
        <v>7066</v>
      </c>
      <c r="B7071" s="3" t="str">
        <f>"00549526"</f>
        <v>00549526</v>
      </c>
    </row>
    <row r="7072" spans="1:2" x14ac:dyDescent="0.25">
      <c r="A7072" s="4">
        <v>7067</v>
      </c>
      <c r="B7072" s="3" t="str">
        <f>"00549555"</f>
        <v>00549555</v>
      </c>
    </row>
    <row r="7073" spans="1:2" x14ac:dyDescent="0.25">
      <c r="A7073" s="4">
        <v>7068</v>
      </c>
      <c r="B7073" s="3" t="str">
        <f>"00549560"</f>
        <v>00549560</v>
      </c>
    </row>
    <row r="7074" spans="1:2" x14ac:dyDescent="0.25">
      <c r="A7074" s="4">
        <v>7069</v>
      </c>
      <c r="B7074" s="3" t="str">
        <f>"00549589"</f>
        <v>00549589</v>
      </c>
    </row>
    <row r="7075" spans="1:2" x14ac:dyDescent="0.25">
      <c r="A7075" s="4">
        <v>7070</v>
      </c>
      <c r="B7075" s="3" t="str">
        <f>"00549641"</f>
        <v>00549641</v>
      </c>
    </row>
    <row r="7076" spans="1:2" x14ac:dyDescent="0.25">
      <c r="A7076" s="4">
        <v>7071</v>
      </c>
      <c r="B7076" s="3" t="str">
        <f>"00549743"</f>
        <v>00549743</v>
      </c>
    </row>
    <row r="7077" spans="1:2" x14ac:dyDescent="0.25">
      <c r="A7077" s="4">
        <v>7072</v>
      </c>
      <c r="B7077" s="3" t="str">
        <f>"00549798"</f>
        <v>00549798</v>
      </c>
    </row>
    <row r="7078" spans="1:2" x14ac:dyDescent="0.25">
      <c r="A7078" s="4">
        <v>7073</v>
      </c>
      <c r="B7078" s="3" t="str">
        <f>"00550051"</f>
        <v>00550051</v>
      </c>
    </row>
    <row r="7079" spans="1:2" x14ac:dyDescent="0.25">
      <c r="A7079" s="4">
        <v>7074</v>
      </c>
      <c r="B7079" s="3" t="str">
        <f>"00550093"</f>
        <v>00550093</v>
      </c>
    </row>
    <row r="7080" spans="1:2" x14ac:dyDescent="0.25">
      <c r="A7080" s="4">
        <v>7075</v>
      </c>
      <c r="B7080" s="3" t="str">
        <f>"00550115"</f>
        <v>00550115</v>
      </c>
    </row>
    <row r="7081" spans="1:2" x14ac:dyDescent="0.25">
      <c r="A7081" s="4">
        <v>7076</v>
      </c>
      <c r="B7081" s="3" t="str">
        <f>"00550121"</f>
        <v>00550121</v>
      </c>
    </row>
    <row r="7082" spans="1:2" x14ac:dyDescent="0.25">
      <c r="A7082" s="4">
        <v>7077</v>
      </c>
      <c r="B7082" s="3" t="str">
        <f>"00550125"</f>
        <v>00550125</v>
      </c>
    </row>
    <row r="7083" spans="1:2" x14ac:dyDescent="0.25">
      <c r="A7083" s="4">
        <v>7078</v>
      </c>
      <c r="B7083" s="3" t="str">
        <f>"00550132"</f>
        <v>00550132</v>
      </c>
    </row>
    <row r="7084" spans="1:2" x14ac:dyDescent="0.25">
      <c r="A7084" s="4">
        <v>7079</v>
      </c>
      <c r="B7084" s="3" t="str">
        <f>"00550179"</f>
        <v>00550179</v>
      </c>
    </row>
    <row r="7085" spans="1:2" x14ac:dyDescent="0.25">
      <c r="A7085" s="4">
        <v>7080</v>
      </c>
      <c r="B7085" s="3" t="str">
        <f>"00550204"</f>
        <v>00550204</v>
      </c>
    </row>
    <row r="7086" spans="1:2" x14ac:dyDescent="0.25">
      <c r="A7086" s="4">
        <v>7081</v>
      </c>
      <c r="B7086" s="3" t="str">
        <f>"00550303"</f>
        <v>00550303</v>
      </c>
    </row>
    <row r="7087" spans="1:2" x14ac:dyDescent="0.25">
      <c r="A7087" s="4">
        <v>7082</v>
      </c>
      <c r="B7087" s="3" t="str">
        <f>"00550502"</f>
        <v>00550502</v>
      </c>
    </row>
    <row r="7088" spans="1:2" x14ac:dyDescent="0.25">
      <c r="A7088" s="4">
        <v>7083</v>
      </c>
      <c r="B7088" s="3" t="str">
        <f>"00550960"</f>
        <v>00550960</v>
      </c>
    </row>
    <row r="7089" spans="1:2" x14ac:dyDescent="0.25">
      <c r="A7089" s="4">
        <v>7084</v>
      </c>
      <c r="B7089" s="3" t="str">
        <f>"00550979"</f>
        <v>00550979</v>
      </c>
    </row>
    <row r="7090" spans="1:2" x14ac:dyDescent="0.25">
      <c r="A7090" s="4">
        <v>7085</v>
      </c>
      <c r="B7090" s="3" t="str">
        <f>"00551033"</f>
        <v>00551033</v>
      </c>
    </row>
    <row r="7091" spans="1:2" x14ac:dyDescent="0.25">
      <c r="A7091" s="4">
        <v>7086</v>
      </c>
      <c r="B7091" s="3" t="str">
        <f>"00551046"</f>
        <v>00551046</v>
      </c>
    </row>
    <row r="7092" spans="1:2" x14ac:dyDescent="0.25">
      <c r="A7092" s="4">
        <v>7087</v>
      </c>
      <c r="B7092" s="3" t="str">
        <f>"00551161"</f>
        <v>00551161</v>
      </c>
    </row>
    <row r="7093" spans="1:2" x14ac:dyDescent="0.25">
      <c r="A7093" s="4">
        <v>7088</v>
      </c>
      <c r="B7093" s="3" t="str">
        <f>"00551488"</f>
        <v>00551488</v>
      </c>
    </row>
    <row r="7094" spans="1:2" x14ac:dyDescent="0.25">
      <c r="A7094" s="4">
        <v>7089</v>
      </c>
      <c r="B7094" s="3" t="str">
        <f>"00551574"</f>
        <v>00551574</v>
      </c>
    </row>
    <row r="7095" spans="1:2" x14ac:dyDescent="0.25">
      <c r="A7095" s="4">
        <v>7090</v>
      </c>
      <c r="B7095" s="3" t="str">
        <f>"00551620"</f>
        <v>00551620</v>
      </c>
    </row>
    <row r="7096" spans="1:2" x14ac:dyDescent="0.25">
      <c r="A7096" s="4">
        <v>7091</v>
      </c>
      <c r="B7096" s="3" t="str">
        <f>"00551652"</f>
        <v>00551652</v>
      </c>
    </row>
    <row r="7097" spans="1:2" x14ac:dyDescent="0.25">
      <c r="A7097" s="4">
        <v>7092</v>
      </c>
      <c r="B7097" s="3" t="str">
        <f>"00551720"</f>
        <v>00551720</v>
      </c>
    </row>
    <row r="7098" spans="1:2" x14ac:dyDescent="0.25">
      <c r="A7098" s="4">
        <v>7093</v>
      </c>
      <c r="B7098" s="3" t="str">
        <f>"00551739"</f>
        <v>00551739</v>
      </c>
    </row>
    <row r="7099" spans="1:2" x14ac:dyDescent="0.25">
      <c r="A7099" s="4">
        <v>7094</v>
      </c>
      <c r="B7099" s="3" t="str">
        <f>"00551746"</f>
        <v>00551746</v>
      </c>
    </row>
    <row r="7100" spans="1:2" x14ac:dyDescent="0.25">
      <c r="A7100" s="4">
        <v>7095</v>
      </c>
      <c r="B7100" s="3" t="str">
        <f>"00551755"</f>
        <v>00551755</v>
      </c>
    </row>
    <row r="7101" spans="1:2" x14ac:dyDescent="0.25">
      <c r="A7101" s="4">
        <v>7096</v>
      </c>
      <c r="B7101" s="3" t="str">
        <f>"00551812"</f>
        <v>00551812</v>
      </c>
    </row>
    <row r="7102" spans="1:2" x14ac:dyDescent="0.25">
      <c r="A7102" s="4">
        <v>7097</v>
      </c>
      <c r="B7102" s="3" t="str">
        <f>"00551818"</f>
        <v>00551818</v>
      </c>
    </row>
    <row r="7103" spans="1:2" x14ac:dyDescent="0.25">
      <c r="A7103" s="4">
        <v>7098</v>
      </c>
      <c r="B7103" s="3" t="str">
        <f>"00551838"</f>
        <v>00551838</v>
      </c>
    </row>
    <row r="7104" spans="1:2" x14ac:dyDescent="0.25">
      <c r="A7104" s="4">
        <v>7099</v>
      </c>
      <c r="B7104" s="3" t="str">
        <f>"00551862"</f>
        <v>00551862</v>
      </c>
    </row>
    <row r="7105" spans="1:2" x14ac:dyDescent="0.25">
      <c r="A7105" s="4">
        <v>7100</v>
      </c>
      <c r="B7105" s="3" t="str">
        <f>"00551866"</f>
        <v>00551866</v>
      </c>
    </row>
    <row r="7106" spans="1:2" x14ac:dyDescent="0.25">
      <c r="A7106" s="4">
        <v>7101</v>
      </c>
      <c r="B7106" s="3" t="str">
        <f>"00551970"</f>
        <v>00551970</v>
      </c>
    </row>
    <row r="7107" spans="1:2" x14ac:dyDescent="0.25">
      <c r="A7107" s="4">
        <v>7102</v>
      </c>
      <c r="B7107" s="3" t="str">
        <f>"00552046"</f>
        <v>00552046</v>
      </c>
    </row>
    <row r="7108" spans="1:2" x14ac:dyDescent="0.25">
      <c r="A7108" s="4">
        <v>7103</v>
      </c>
      <c r="B7108" s="3" t="str">
        <f>"00552124"</f>
        <v>00552124</v>
      </c>
    </row>
    <row r="7109" spans="1:2" x14ac:dyDescent="0.25">
      <c r="A7109" s="4">
        <v>7104</v>
      </c>
      <c r="B7109" s="3" t="str">
        <f>"00552133"</f>
        <v>00552133</v>
      </c>
    </row>
    <row r="7110" spans="1:2" x14ac:dyDescent="0.25">
      <c r="A7110" s="4">
        <v>7105</v>
      </c>
      <c r="B7110" s="3" t="str">
        <f>"00552239"</f>
        <v>00552239</v>
      </c>
    </row>
    <row r="7111" spans="1:2" x14ac:dyDescent="0.25">
      <c r="A7111" s="4">
        <v>7106</v>
      </c>
      <c r="B7111" s="3" t="str">
        <f>"00552417"</f>
        <v>00552417</v>
      </c>
    </row>
    <row r="7112" spans="1:2" x14ac:dyDescent="0.25">
      <c r="A7112" s="4">
        <v>7107</v>
      </c>
      <c r="B7112" s="3" t="str">
        <f>"00552433"</f>
        <v>00552433</v>
      </c>
    </row>
    <row r="7113" spans="1:2" x14ac:dyDescent="0.25">
      <c r="A7113" s="4">
        <v>7108</v>
      </c>
      <c r="B7113" s="3" t="str">
        <f>"00552449"</f>
        <v>00552449</v>
      </c>
    </row>
    <row r="7114" spans="1:2" x14ac:dyDescent="0.25">
      <c r="A7114" s="4">
        <v>7109</v>
      </c>
      <c r="B7114" s="3" t="str">
        <f>"00552454"</f>
        <v>00552454</v>
      </c>
    </row>
    <row r="7115" spans="1:2" x14ac:dyDescent="0.25">
      <c r="A7115" s="4">
        <v>7110</v>
      </c>
      <c r="B7115" s="3" t="str">
        <f>"00552542"</f>
        <v>00552542</v>
      </c>
    </row>
    <row r="7116" spans="1:2" x14ac:dyDescent="0.25">
      <c r="A7116" s="4">
        <v>7111</v>
      </c>
      <c r="B7116" s="3" t="str">
        <f>"00552610"</f>
        <v>00552610</v>
      </c>
    </row>
    <row r="7117" spans="1:2" x14ac:dyDescent="0.25">
      <c r="A7117" s="4">
        <v>7112</v>
      </c>
      <c r="B7117" s="3" t="str">
        <f>"00552635"</f>
        <v>00552635</v>
      </c>
    </row>
    <row r="7118" spans="1:2" x14ac:dyDescent="0.25">
      <c r="A7118" s="4">
        <v>7113</v>
      </c>
      <c r="B7118" s="3" t="str">
        <f>"00552728"</f>
        <v>00552728</v>
      </c>
    </row>
    <row r="7119" spans="1:2" x14ac:dyDescent="0.25">
      <c r="A7119" s="4">
        <v>7114</v>
      </c>
      <c r="B7119" s="3" t="str">
        <f>"00552764"</f>
        <v>00552764</v>
      </c>
    </row>
    <row r="7120" spans="1:2" x14ac:dyDescent="0.25">
      <c r="A7120" s="4">
        <v>7115</v>
      </c>
      <c r="B7120" s="3" t="str">
        <f>"00552799"</f>
        <v>00552799</v>
      </c>
    </row>
    <row r="7121" spans="1:2" x14ac:dyDescent="0.25">
      <c r="A7121" s="4">
        <v>7116</v>
      </c>
      <c r="B7121" s="3" t="str">
        <f>"00552810"</f>
        <v>00552810</v>
      </c>
    </row>
    <row r="7122" spans="1:2" x14ac:dyDescent="0.25">
      <c r="A7122" s="4">
        <v>7117</v>
      </c>
      <c r="B7122" s="3" t="str">
        <f>"00552972"</f>
        <v>00552972</v>
      </c>
    </row>
    <row r="7123" spans="1:2" x14ac:dyDescent="0.25">
      <c r="A7123" s="4">
        <v>7118</v>
      </c>
      <c r="B7123" s="3" t="str">
        <f>"00553089"</f>
        <v>00553089</v>
      </c>
    </row>
    <row r="7124" spans="1:2" x14ac:dyDescent="0.25">
      <c r="A7124" s="4">
        <v>7119</v>
      </c>
      <c r="B7124" s="3" t="str">
        <f>"00553100"</f>
        <v>00553100</v>
      </c>
    </row>
    <row r="7125" spans="1:2" x14ac:dyDescent="0.25">
      <c r="A7125" s="4">
        <v>7120</v>
      </c>
      <c r="B7125" s="3" t="str">
        <f>"00553111"</f>
        <v>00553111</v>
      </c>
    </row>
    <row r="7126" spans="1:2" x14ac:dyDescent="0.25">
      <c r="A7126" s="4">
        <v>7121</v>
      </c>
      <c r="B7126" s="3" t="str">
        <f>"00553185"</f>
        <v>00553185</v>
      </c>
    </row>
    <row r="7127" spans="1:2" x14ac:dyDescent="0.25">
      <c r="A7127" s="4">
        <v>7122</v>
      </c>
      <c r="B7127" s="3" t="str">
        <f>"00553269"</f>
        <v>00553269</v>
      </c>
    </row>
    <row r="7128" spans="1:2" x14ac:dyDescent="0.25">
      <c r="A7128" s="4">
        <v>7123</v>
      </c>
      <c r="B7128" s="3" t="str">
        <f>"00553295"</f>
        <v>00553295</v>
      </c>
    </row>
    <row r="7129" spans="1:2" x14ac:dyDescent="0.25">
      <c r="A7129" s="4">
        <v>7124</v>
      </c>
      <c r="B7129" s="3" t="str">
        <f>"00553338"</f>
        <v>00553338</v>
      </c>
    </row>
    <row r="7130" spans="1:2" x14ac:dyDescent="0.25">
      <c r="A7130" s="4">
        <v>7125</v>
      </c>
      <c r="B7130" s="3" t="str">
        <f>"00553437"</f>
        <v>00553437</v>
      </c>
    </row>
    <row r="7131" spans="1:2" x14ac:dyDescent="0.25">
      <c r="A7131" s="4">
        <v>7126</v>
      </c>
      <c r="B7131" s="3" t="str">
        <f>"00553449"</f>
        <v>00553449</v>
      </c>
    </row>
    <row r="7132" spans="1:2" x14ac:dyDescent="0.25">
      <c r="A7132" s="4">
        <v>7127</v>
      </c>
      <c r="B7132" s="3" t="str">
        <f>"00553475"</f>
        <v>00553475</v>
      </c>
    </row>
    <row r="7133" spans="1:2" x14ac:dyDescent="0.25">
      <c r="A7133" s="4">
        <v>7128</v>
      </c>
      <c r="B7133" s="3" t="str">
        <f>"00553527"</f>
        <v>00553527</v>
      </c>
    </row>
    <row r="7134" spans="1:2" x14ac:dyDescent="0.25">
      <c r="A7134" s="4">
        <v>7129</v>
      </c>
      <c r="B7134" s="3" t="str">
        <f>"00553548"</f>
        <v>00553548</v>
      </c>
    </row>
    <row r="7135" spans="1:2" x14ac:dyDescent="0.25">
      <c r="A7135" s="4">
        <v>7130</v>
      </c>
      <c r="B7135" s="3" t="str">
        <f>"00553595"</f>
        <v>00553595</v>
      </c>
    </row>
    <row r="7136" spans="1:2" x14ac:dyDescent="0.25">
      <c r="A7136" s="4">
        <v>7131</v>
      </c>
      <c r="B7136" s="3" t="str">
        <f>"00553637"</f>
        <v>00553637</v>
      </c>
    </row>
    <row r="7137" spans="1:2" x14ac:dyDescent="0.25">
      <c r="A7137" s="4">
        <v>7132</v>
      </c>
      <c r="B7137" s="3" t="str">
        <f>"00553641"</f>
        <v>00553641</v>
      </c>
    </row>
    <row r="7138" spans="1:2" x14ac:dyDescent="0.25">
      <c r="A7138" s="4">
        <v>7133</v>
      </c>
      <c r="B7138" s="3" t="str">
        <f>"00553658"</f>
        <v>00553658</v>
      </c>
    </row>
    <row r="7139" spans="1:2" x14ac:dyDescent="0.25">
      <c r="A7139" s="4">
        <v>7134</v>
      </c>
      <c r="B7139" s="3" t="str">
        <f>"00553703"</f>
        <v>00553703</v>
      </c>
    </row>
    <row r="7140" spans="1:2" x14ac:dyDescent="0.25">
      <c r="A7140" s="4">
        <v>7135</v>
      </c>
      <c r="B7140" s="3" t="str">
        <f>"00553704"</f>
        <v>00553704</v>
      </c>
    </row>
    <row r="7141" spans="1:2" x14ac:dyDescent="0.25">
      <c r="A7141" s="4">
        <v>7136</v>
      </c>
      <c r="B7141" s="3" t="str">
        <f>"00553788"</f>
        <v>00553788</v>
      </c>
    </row>
    <row r="7142" spans="1:2" x14ac:dyDescent="0.25">
      <c r="A7142" s="4">
        <v>7137</v>
      </c>
      <c r="B7142" s="3" t="str">
        <f>"00553909"</f>
        <v>00553909</v>
      </c>
    </row>
    <row r="7143" spans="1:2" x14ac:dyDescent="0.25">
      <c r="A7143" s="4">
        <v>7138</v>
      </c>
      <c r="B7143" s="3" t="str">
        <f>"00553913"</f>
        <v>00553913</v>
      </c>
    </row>
    <row r="7144" spans="1:2" x14ac:dyDescent="0.25">
      <c r="A7144" s="4">
        <v>7139</v>
      </c>
      <c r="B7144" s="3" t="str">
        <f>"00553983"</f>
        <v>00553983</v>
      </c>
    </row>
    <row r="7145" spans="1:2" x14ac:dyDescent="0.25">
      <c r="A7145" s="4">
        <v>7140</v>
      </c>
      <c r="B7145" s="3" t="str">
        <f>"00554093"</f>
        <v>00554093</v>
      </c>
    </row>
    <row r="7146" spans="1:2" x14ac:dyDescent="0.25">
      <c r="A7146" s="4">
        <v>7141</v>
      </c>
      <c r="B7146" s="3" t="str">
        <f>"00554094"</f>
        <v>00554094</v>
      </c>
    </row>
    <row r="7147" spans="1:2" x14ac:dyDescent="0.25">
      <c r="A7147" s="4">
        <v>7142</v>
      </c>
      <c r="B7147" s="3" t="str">
        <f>"00554207"</f>
        <v>00554207</v>
      </c>
    </row>
    <row r="7148" spans="1:2" x14ac:dyDescent="0.25">
      <c r="A7148" s="4">
        <v>7143</v>
      </c>
      <c r="B7148" s="3" t="str">
        <f>"00554233"</f>
        <v>00554233</v>
      </c>
    </row>
    <row r="7149" spans="1:2" x14ac:dyDescent="0.25">
      <c r="A7149" s="4">
        <v>7144</v>
      </c>
      <c r="B7149" s="3" t="str">
        <f>"00554254"</f>
        <v>00554254</v>
      </c>
    </row>
    <row r="7150" spans="1:2" x14ac:dyDescent="0.25">
      <c r="A7150" s="4">
        <v>7145</v>
      </c>
      <c r="B7150" s="3" t="str">
        <f>"00554355"</f>
        <v>00554355</v>
      </c>
    </row>
    <row r="7151" spans="1:2" x14ac:dyDescent="0.25">
      <c r="A7151" s="4">
        <v>7146</v>
      </c>
      <c r="B7151" s="3" t="str">
        <f>"00554371"</f>
        <v>00554371</v>
      </c>
    </row>
    <row r="7152" spans="1:2" x14ac:dyDescent="0.25">
      <c r="A7152" s="4">
        <v>7147</v>
      </c>
      <c r="B7152" s="3" t="str">
        <f>"00554379"</f>
        <v>00554379</v>
      </c>
    </row>
    <row r="7153" spans="1:2" x14ac:dyDescent="0.25">
      <c r="A7153" s="4">
        <v>7148</v>
      </c>
      <c r="B7153" s="3" t="str">
        <f>"00554390"</f>
        <v>00554390</v>
      </c>
    </row>
    <row r="7154" spans="1:2" x14ac:dyDescent="0.25">
      <c r="A7154" s="4">
        <v>7149</v>
      </c>
      <c r="B7154" s="3" t="str">
        <f>"00554472"</f>
        <v>00554472</v>
      </c>
    </row>
    <row r="7155" spans="1:2" x14ac:dyDescent="0.25">
      <c r="A7155" s="4">
        <v>7150</v>
      </c>
      <c r="B7155" s="3" t="str">
        <f>"00554476"</f>
        <v>00554476</v>
      </c>
    </row>
    <row r="7156" spans="1:2" x14ac:dyDescent="0.25">
      <c r="A7156" s="4">
        <v>7151</v>
      </c>
      <c r="B7156" s="3" t="str">
        <f>"00554521"</f>
        <v>00554521</v>
      </c>
    </row>
    <row r="7157" spans="1:2" x14ac:dyDescent="0.25">
      <c r="A7157" s="4">
        <v>7152</v>
      </c>
      <c r="B7157" s="3" t="str">
        <f>"00554647"</f>
        <v>00554647</v>
      </c>
    </row>
    <row r="7158" spans="1:2" x14ac:dyDescent="0.25">
      <c r="A7158" s="4">
        <v>7153</v>
      </c>
      <c r="B7158" s="3" t="str">
        <f>"00554657"</f>
        <v>00554657</v>
      </c>
    </row>
    <row r="7159" spans="1:2" x14ac:dyDescent="0.25">
      <c r="A7159" s="4">
        <v>7154</v>
      </c>
      <c r="B7159" s="3" t="str">
        <f>"00554659"</f>
        <v>00554659</v>
      </c>
    </row>
    <row r="7160" spans="1:2" x14ac:dyDescent="0.25">
      <c r="A7160" s="4">
        <v>7155</v>
      </c>
      <c r="B7160" s="3" t="str">
        <f>"00554669"</f>
        <v>00554669</v>
      </c>
    </row>
    <row r="7161" spans="1:2" x14ac:dyDescent="0.25">
      <c r="A7161" s="4">
        <v>7156</v>
      </c>
      <c r="B7161" s="3" t="str">
        <f>"00554672"</f>
        <v>00554672</v>
      </c>
    </row>
    <row r="7162" spans="1:2" x14ac:dyDescent="0.25">
      <c r="A7162" s="4">
        <v>7157</v>
      </c>
      <c r="B7162" s="3" t="str">
        <f>"00554673"</f>
        <v>00554673</v>
      </c>
    </row>
    <row r="7163" spans="1:2" x14ac:dyDescent="0.25">
      <c r="A7163" s="4">
        <v>7158</v>
      </c>
      <c r="B7163" s="3" t="str">
        <f>"00554819"</f>
        <v>00554819</v>
      </c>
    </row>
    <row r="7164" spans="1:2" x14ac:dyDescent="0.25">
      <c r="A7164" s="4">
        <v>7159</v>
      </c>
      <c r="B7164" s="3" t="str">
        <f>"00554843"</f>
        <v>00554843</v>
      </c>
    </row>
    <row r="7165" spans="1:2" x14ac:dyDescent="0.25">
      <c r="A7165" s="4">
        <v>7160</v>
      </c>
      <c r="B7165" s="3" t="str">
        <f>"00554850"</f>
        <v>00554850</v>
      </c>
    </row>
    <row r="7166" spans="1:2" x14ac:dyDescent="0.25">
      <c r="A7166" s="4">
        <v>7161</v>
      </c>
      <c r="B7166" s="3" t="str">
        <f>"00554856"</f>
        <v>00554856</v>
      </c>
    </row>
    <row r="7167" spans="1:2" x14ac:dyDescent="0.25">
      <c r="A7167" s="4">
        <v>7162</v>
      </c>
      <c r="B7167" s="3" t="str">
        <f>"00554908"</f>
        <v>00554908</v>
      </c>
    </row>
    <row r="7168" spans="1:2" x14ac:dyDescent="0.25">
      <c r="A7168" s="4">
        <v>7163</v>
      </c>
      <c r="B7168" s="3" t="str">
        <f>"00554944"</f>
        <v>00554944</v>
      </c>
    </row>
    <row r="7169" spans="1:2" x14ac:dyDescent="0.25">
      <c r="A7169" s="4">
        <v>7164</v>
      </c>
      <c r="B7169" s="3" t="str">
        <f>"00554945"</f>
        <v>00554945</v>
      </c>
    </row>
    <row r="7170" spans="1:2" x14ac:dyDescent="0.25">
      <c r="A7170" s="4">
        <v>7165</v>
      </c>
      <c r="B7170" s="3" t="str">
        <f>"00554993"</f>
        <v>00554993</v>
      </c>
    </row>
    <row r="7171" spans="1:2" x14ac:dyDescent="0.25">
      <c r="A7171" s="4">
        <v>7166</v>
      </c>
      <c r="B7171" s="3" t="str">
        <f>"00554998"</f>
        <v>00554998</v>
      </c>
    </row>
    <row r="7172" spans="1:2" x14ac:dyDescent="0.25">
      <c r="A7172" s="4">
        <v>7167</v>
      </c>
      <c r="B7172" s="3" t="str">
        <f>"00555002"</f>
        <v>00555002</v>
      </c>
    </row>
    <row r="7173" spans="1:2" x14ac:dyDescent="0.25">
      <c r="A7173" s="4">
        <v>7168</v>
      </c>
      <c r="B7173" s="3" t="str">
        <f>"00555010"</f>
        <v>00555010</v>
      </c>
    </row>
    <row r="7174" spans="1:2" x14ac:dyDescent="0.25">
      <c r="A7174" s="4">
        <v>7169</v>
      </c>
      <c r="B7174" s="3" t="str">
        <f>"00555022"</f>
        <v>00555022</v>
      </c>
    </row>
    <row r="7175" spans="1:2" x14ac:dyDescent="0.25">
      <c r="A7175" s="4">
        <v>7170</v>
      </c>
      <c r="B7175" s="3" t="str">
        <f>"00555039"</f>
        <v>00555039</v>
      </c>
    </row>
    <row r="7176" spans="1:2" x14ac:dyDescent="0.25">
      <c r="A7176" s="4">
        <v>7171</v>
      </c>
      <c r="B7176" s="3" t="str">
        <f>"00555060"</f>
        <v>00555060</v>
      </c>
    </row>
    <row r="7177" spans="1:2" x14ac:dyDescent="0.25">
      <c r="A7177" s="4">
        <v>7172</v>
      </c>
      <c r="B7177" s="3" t="str">
        <f>"00555075"</f>
        <v>00555075</v>
      </c>
    </row>
    <row r="7178" spans="1:2" x14ac:dyDescent="0.25">
      <c r="A7178" s="4">
        <v>7173</v>
      </c>
      <c r="B7178" s="3" t="str">
        <f>"00555264"</f>
        <v>00555264</v>
      </c>
    </row>
    <row r="7179" spans="1:2" x14ac:dyDescent="0.25">
      <c r="A7179" s="4">
        <v>7174</v>
      </c>
      <c r="B7179" s="3" t="str">
        <f>"00555305"</f>
        <v>00555305</v>
      </c>
    </row>
    <row r="7180" spans="1:2" x14ac:dyDescent="0.25">
      <c r="A7180" s="4">
        <v>7175</v>
      </c>
      <c r="B7180" s="3" t="str">
        <f>"00555329"</f>
        <v>00555329</v>
      </c>
    </row>
    <row r="7181" spans="1:2" x14ac:dyDescent="0.25">
      <c r="A7181" s="4">
        <v>7176</v>
      </c>
      <c r="B7181" s="3" t="str">
        <f>"00555392"</f>
        <v>00555392</v>
      </c>
    </row>
    <row r="7182" spans="1:2" x14ac:dyDescent="0.25">
      <c r="A7182" s="4">
        <v>7177</v>
      </c>
      <c r="B7182" s="3" t="str">
        <f>"00555398"</f>
        <v>00555398</v>
      </c>
    </row>
    <row r="7183" spans="1:2" x14ac:dyDescent="0.25">
      <c r="A7183" s="4">
        <v>7178</v>
      </c>
      <c r="B7183" s="3" t="str">
        <f>"00555422"</f>
        <v>00555422</v>
      </c>
    </row>
    <row r="7184" spans="1:2" x14ac:dyDescent="0.25">
      <c r="A7184" s="4">
        <v>7179</v>
      </c>
      <c r="B7184" s="3" t="str">
        <f>"00555428"</f>
        <v>00555428</v>
      </c>
    </row>
    <row r="7185" spans="1:2" x14ac:dyDescent="0.25">
      <c r="A7185" s="4">
        <v>7180</v>
      </c>
      <c r="B7185" s="3" t="str">
        <f>"00555484"</f>
        <v>00555484</v>
      </c>
    </row>
    <row r="7186" spans="1:2" x14ac:dyDescent="0.25">
      <c r="A7186" s="4">
        <v>7181</v>
      </c>
      <c r="B7186" s="3" t="str">
        <f>"00555486"</f>
        <v>00555486</v>
      </c>
    </row>
    <row r="7187" spans="1:2" x14ac:dyDescent="0.25">
      <c r="A7187" s="4">
        <v>7182</v>
      </c>
      <c r="B7187" s="3" t="str">
        <f>"00555505"</f>
        <v>00555505</v>
      </c>
    </row>
    <row r="7188" spans="1:2" x14ac:dyDescent="0.25">
      <c r="A7188" s="4">
        <v>7183</v>
      </c>
      <c r="B7188" s="3" t="str">
        <f>"00555521"</f>
        <v>00555521</v>
      </c>
    </row>
    <row r="7189" spans="1:2" x14ac:dyDescent="0.25">
      <c r="A7189" s="4">
        <v>7184</v>
      </c>
      <c r="B7189" s="3" t="str">
        <f>"00555730"</f>
        <v>00555730</v>
      </c>
    </row>
    <row r="7190" spans="1:2" x14ac:dyDescent="0.25">
      <c r="A7190" s="4">
        <v>7185</v>
      </c>
      <c r="B7190" s="3" t="str">
        <f>"00555756"</f>
        <v>00555756</v>
      </c>
    </row>
    <row r="7191" spans="1:2" x14ac:dyDescent="0.25">
      <c r="A7191" s="4">
        <v>7186</v>
      </c>
      <c r="B7191" s="3" t="str">
        <f>"00555785"</f>
        <v>00555785</v>
      </c>
    </row>
    <row r="7192" spans="1:2" x14ac:dyDescent="0.25">
      <c r="A7192" s="4">
        <v>7187</v>
      </c>
      <c r="B7192" s="3" t="str">
        <f>"00555805"</f>
        <v>00555805</v>
      </c>
    </row>
    <row r="7193" spans="1:2" x14ac:dyDescent="0.25">
      <c r="A7193" s="4">
        <v>7188</v>
      </c>
      <c r="B7193" s="3" t="str">
        <f>"00555829"</f>
        <v>00555829</v>
      </c>
    </row>
    <row r="7194" spans="1:2" x14ac:dyDescent="0.25">
      <c r="A7194" s="4">
        <v>7189</v>
      </c>
      <c r="B7194" s="3" t="str">
        <f>"00555869"</f>
        <v>00555869</v>
      </c>
    </row>
    <row r="7195" spans="1:2" x14ac:dyDescent="0.25">
      <c r="A7195" s="4">
        <v>7190</v>
      </c>
      <c r="B7195" s="3" t="str">
        <f>"00555941"</f>
        <v>00555941</v>
      </c>
    </row>
    <row r="7196" spans="1:2" x14ac:dyDescent="0.25">
      <c r="A7196" s="4">
        <v>7191</v>
      </c>
      <c r="B7196" s="3" t="str">
        <f>"00556077"</f>
        <v>00556077</v>
      </c>
    </row>
    <row r="7197" spans="1:2" x14ac:dyDescent="0.25">
      <c r="A7197" s="4">
        <v>7192</v>
      </c>
      <c r="B7197" s="3" t="str">
        <f>"00556198"</f>
        <v>00556198</v>
      </c>
    </row>
    <row r="7198" spans="1:2" x14ac:dyDescent="0.25">
      <c r="A7198" s="4">
        <v>7193</v>
      </c>
      <c r="B7198" s="3" t="str">
        <f>"00556267"</f>
        <v>00556267</v>
      </c>
    </row>
    <row r="7199" spans="1:2" x14ac:dyDescent="0.25">
      <c r="A7199" s="4">
        <v>7194</v>
      </c>
      <c r="B7199" s="3" t="str">
        <f>"00556268"</f>
        <v>00556268</v>
      </c>
    </row>
    <row r="7200" spans="1:2" x14ac:dyDescent="0.25">
      <c r="A7200" s="4">
        <v>7195</v>
      </c>
      <c r="B7200" s="3" t="str">
        <f>"00556305"</f>
        <v>00556305</v>
      </c>
    </row>
    <row r="7201" spans="1:2" x14ac:dyDescent="0.25">
      <c r="A7201" s="4">
        <v>7196</v>
      </c>
      <c r="B7201" s="3" t="str">
        <f>"00556312"</f>
        <v>00556312</v>
      </c>
    </row>
    <row r="7202" spans="1:2" x14ac:dyDescent="0.25">
      <c r="A7202" s="4">
        <v>7197</v>
      </c>
      <c r="B7202" s="3" t="str">
        <f>"00556442"</f>
        <v>00556442</v>
      </c>
    </row>
    <row r="7203" spans="1:2" x14ac:dyDescent="0.25">
      <c r="A7203" s="4">
        <v>7198</v>
      </c>
      <c r="B7203" s="3" t="str">
        <f>"00556483"</f>
        <v>00556483</v>
      </c>
    </row>
    <row r="7204" spans="1:2" x14ac:dyDescent="0.25">
      <c r="A7204" s="4">
        <v>7199</v>
      </c>
      <c r="B7204" s="3" t="str">
        <f>"00556505"</f>
        <v>00556505</v>
      </c>
    </row>
    <row r="7205" spans="1:2" x14ac:dyDescent="0.25">
      <c r="A7205" s="4">
        <v>7200</v>
      </c>
      <c r="B7205" s="3" t="str">
        <f>"00556573"</f>
        <v>00556573</v>
      </c>
    </row>
    <row r="7206" spans="1:2" x14ac:dyDescent="0.25">
      <c r="A7206" s="4">
        <v>7201</v>
      </c>
      <c r="B7206" s="3" t="str">
        <f>"00556612"</f>
        <v>00556612</v>
      </c>
    </row>
    <row r="7207" spans="1:2" x14ac:dyDescent="0.25">
      <c r="A7207" s="4">
        <v>7202</v>
      </c>
      <c r="B7207" s="3" t="str">
        <f>"00556706"</f>
        <v>00556706</v>
      </c>
    </row>
    <row r="7208" spans="1:2" x14ac:dyDescent="0.25">
      <c r="A7208" s="4">
        <v>7203</v>
      </c>
      <c r="B7208" s="3" t="str">
        <f>"00556707"</f>
        <v>00556707</v>
      </c>
    </row>
    <row r="7209" spans="1:2" x14ac:dyDescent="0.25">
      <c r="A7209" s="4">
        <v>7204</v>
      </c>
      <c r="B7209" s="3" t="str">
        <f>"00556755"</f>
        <v>00556755</v>
      </c>
    </row>
    <row r="7210" spans="1:2" x14ac:dyDescent="0.25">
      <c r="A7210" s="4">
        <v>7205</v>
      </c>
      <c r="B7210" s="3" t="str">
        <f>"00557009"</f>
        <v>00557009</v>
      </c>
    </row>
    <row r="7211" spans="1:2" x14ac:dyDescent="0.25">
      <c r="A7211" s="4">
        <v>7206</v>
      </c>
      <c r="B7211" s="3" t="str">
        <f>"00557033"</f>
        <v>00557033</v>
      </c>
    </row>
    <row r="7212" spans="1:2" x14ac:dyDescent="0.25">
      <c r="A7212" s="4">
        <v>7207</v>
      </c>
      <c r="B7212" s="3" t="str">
        <f>"00557038"</f>
        <v>00557038</v>
      </c>
    </row>
    <row r="7213" spans="1:2" x14ac:dyDescent="0.25">
      <c r="A7213" s="4">
        <v>7208</v>
      </c>
      <c r="B7213" s="3" t="str">
        <f>"00557042"</f>
        <v>00557042</v>
      </c>
    </row>
    <row r="7214" spans="1:2" x14ac:dyDescent="0.25">
      <c r="A7214" s="4">
        <v>7209</v>
      </c>
      <c r="B7214" s="3" t="str">
        <f>"00557091"</f>
        <v>00557091</v>
      </c>
    </row>
    <row r="7215" spans="1:2" x14ac:dyDescent="0.25">
      <c r="A7215" s="4">
        <v>7210</v>
      </c>
      <c r="B7215" s="3" t="str">
        <f>"00557115"</f>
        <v>00557115</v>
      </c>
    </row>
    <row r="7216" spans="1:2" x14ac:dyDescent="0.25">
      <c r="A7216" s="4">
        <v>7211</v>
      </c>
      <c r="B7216" s="3" t="str">
        <f>"00557135"</f>
        <v>00557135</v>
      </c>
    </row>
    <row r="7217" spans="1:2" x14ac:dyDescent="0.25">
      <c r="A7217" s="4">
        <v>7212</v>
      </c>
      <c r="B7217" s="3" t="str">
        <f>"00557142"</f>
        <v>00557142</v>
      </c>
    </row>
    <row r="7218" spans="1:2" x14ac:dyDescent="0.25">
      <c r="A7218" s="4">
        <v>7213</v>
      </c>
      <c r="B7218" s="3" t="str">
        <f>"00557176"</f>
        <v>00557176</v>
      </c>
    </row>
    <row r="7219" spans="1:2" x14ac:dyDescent="0.25">
      <c r="A7219" s="4">
        <v>7214</v>
      </c>
      <c r="B7219" s="3" t="str">
        <f>"00557209"</f>
        <v>00557209</v>
      </c>
    </row>
    <row r="7220" spans="1:2" x14ac:dyDescent="0.25">
      <c r="A7220" s="4">
        <v>7215</v>
      </c>
      <c r="B7220" s="3" t="str">
        <f>"00557223"</f>
        <v>00557223</v>
      </c>
    </row>
    <row r="7221" spans="1:2" x14ac:dyDescent="0.25">
      <c r="A7221" s="4">
        <v>7216</v>
      </c>
      <c r="B7221" s="3" t="str">
        <f>"00557330"</f>
        <v>00557330</v>
      </c>
    </row>
    <row r="7222" spans="1:2" x14ac:dyDescent="0.25">
      <c r="A7222" s="4">
        <v>7217</v>
      </c>
      <c r="B7222" s="3" t="str">
        <f>"00557357"</f>
        <v>00557357</v>
      </c>
    </row>
    <row r="7223" spans="1:2" x14ac:dyDescent="0.25">
      <c r="A7223" s="4">
        <v>7218</v>
      </c>
      <c r="B7223" s="3" t="str">
        <f>"00557398"</f>
        <v>00557398</v>
      </c>
    </row>
    <row r="7224" spans="1:2" x14ac:dyDescent="0.25">
      <c r="A7224" s="4">
        <v>7219</v>
      </c>
      <c r="B7224" s="3" t="str">
        <f>"00557404"</f>
        <v>00557404</v>
      </c>
    </row>
    <row r="7225" spans="1:2" x14ac:dyDescent="0.25">
      <c r="A7225" s="4">
        <v>7220</v>
      </c>
      <c r="B7225" s="3" t="str">
        <f>"00557546"</f>
        <v>00557546</v>
      </c>
    </row>
    <row r="7226" spans="1:2" x14ac:dyDescent="0.25">
      <c r="A7226" s="4">
        <v>7221</v>
      </c>
      <c r="B7226" s="3" t="str">
        <f>"00557618"</f>
        <v>00557618</v>
      </c>
    </row>
    <row r="7227" spans="1:2" x14ac:dyDescent="0.25">
      <c r="A7227" s="4">
        <v>7222</v>
      </c>
      <c r="B7227" s="3" t="str">
        <f>"00557621"</f>
        <v>00557621</v>
      </c>
    </row>
    <row r="7228" spans="1:2" x14ac:dyDescent="0.25">
      <c r="A7228" s="4">
        <v>7223</v>
      </c>
      <c r="B7228" s="3" t="str">
        <f>"00557664"</f>
        <v>00557664</v>
      </c>
    </row>
    <row r="7229" spans="1:2" x14ac:dyDescent="0.25">
      <c r="A7229" s="4">
        <v>7224</v>
      </c>
      <c r="B7229" s="3" t="str">
        <f>"00557719"</f>
        <v>00557719</v>
      </c>
    </row>
    <row r="7230" spans="1:2" x14ac:dyDescent="0.25">
      <c r="A7230" s="4">
        <v>7225</v>
      </c>
      <c r="B7230" s="3" t="str">
        <f>"00557743"</f>
        <v>00557743</v>
      </c>
    </row>
    <row r="7231" spans="1:2" x14ac:dyDescent="0.25">
      <c r="A7231" s="4">
        <v>7226</v>
      </c>
      <c r="B7231" s="3" t="str">
        <f>"00557769"</f>
        <v>00557769</v>
      </c>
    </row>
    <row r="7232" spans="1:2" x14ac:dyDescent="0.25">
      <c r="A7232" s="4">
        <v>7227</v>
      </c>
      <c r="B7232" s="3" t="str">
        <f>"00557804"</f>
        <v>00557804</v>
      </c>
    </row>
    <row r="7233" spans="1:2" x14ac:dyDescent="0.25">
      <c r="A7233" s="4">
        <v>7228</v>
      </c>
      <c r="B7233" s="3" t="str">
        <f>"00557837"</f>
        <v>00557837</v>
      </c>
    </row>
    <row r="7234" spans="1:2" x14ac:dyDescent="0.25">
      <c r="A7234" s="4">
        <v>7229</v>
      </c>
      <c r="B7234" s="3" t="str">
        <f>"00557852"</f>
        <v>00557852</v>
      </c>
    </row>
    <row r="7235" spans="1:2" x14ac:dyDescent="0.25">
      <c r="A7235" s="4">
        <v>7230</v>
      </c>
      <c r="B7235" s="3" t="str">
        <f>"00557888"</f>
        <v>00557888</v>
      </c>
    </row>
    <row r="7236" spans="1:2" x14ac:dyDescent="0.25">
      <c r="A7236" s="4">
        <v>7231</v>
      </c>
      <c r="B7236" s="3" t="str">
        <f>"00557911"</f>
        <v>00557911</v>
      </c>
    </row>
    <row r="7237" spans="1:2" x14ac:dyDescent="0.25">
      <c r="A7237" s="4">
        <v>7232</v>
      </c>
      <c r="B7237" s="3" t="str">
        <f>"00558023"</f>
        <v>00558023</v>
      </c>
    </row>
    <row r="7238" spans="1:2" x14ac:dyDescent="0.25">
      <c r="A7238" s="4">
        <v>7233</v>
      </c>
      <c r="B7238" s="3" t="str">
        <f>"00558039"</f>
        <v>00558039</v>
      </c>
    </row>
    <row r="7239" spans="1:2" x14ac:dyDescent="0.25">
      <c r="A7239" s="4">
        <v>7234</v>
      </c>
      <c r="B7239" s="3" t="str">
        <f>"00558167"</f>
        <v>00558167</v>
      </c>
    </row>
    <row r="7240" spans="1:2" x14ac:dyDescent="0.25">
      <c r="A7240" s="4">
        <v>7235</v>
      </c>
      <c r="B7240" s="3" t="str">
        <f>"00558193"</f>
        <v>00558193</v>
      </c>
    </row>
    <row r="7241" spans="1:2" x14ac:dyDescent="0.25">
      <c r="A7241" s="4">
        <v>7236</v>
      </c>
      <c r="B7241" s="3" t="str">
        <f>"00558240"</f>
        <v>00558240</v>
      </c>
    </row>
    <row r="7242" spans="1:2" x14ac:dyDescent="0.25">
      <c r="A7242" s="4">
        <v>7237</v>
      </c>
      <c r="B7242" s="3" t="str">
        <f>"00558255"</f>
        <v>00558255</v>
      </c>
    </row>
    <row r="7243" spans="1:2" x14ac:dyDescent="0.25">
      <c r="A7243" s="4">
        <v>7238</v>
      </c>
      <c r="B7243" s="3" t="str">
        <f>"00558321"</f>
        <v>00558321</v>
      </c>
    </row>
    <row r="7244" spans="1:2" x14ac:dyDescent="0.25">
      <c r="A7244" s="4">
        <v>7239</v>
      </c>
      <c r="B7244" s="3" t="str">
        <f>"00558335"</f>
        <v>00558335</v>
      </c>
    </row>
    <row r="7245" spans="1:2" x14ac:dyDescent="0.25">
      <c r="A7245" s="4">
        <v>7240</v>
      </c>
      <c r="B7245" s="3" t="str">
        <f>"00558402"</f>
        <v>00558402</v>
      </c>
    </row>
    <row r="7246" spans="1:2" x14ac:dyDescent="0.25">
      <c r="A7246" s="4">
        <v>7241</v>
      </c>
      <c r="B7246" s="3" t="str">
        <f>"00558449"</f>
        <v>00558449</v>
      </c>
    </row>
    <row r="7247" spans="1:2" x14ac:dyDescent="0.25">
      <c r="A7247" s="4">
        <v>7242</v>
      </c>
      <c r="B7247" s="3" t="str">
        <f>"00558464"</f>
        <v>00558464</v>
      </c>
    </row>
    <row r="7248" spans="1:2" x14ac:dyDescent="0.25">
      <c r="A7248" s="4">
        <v>7243</v>
      </c>
      <c r="B7248" s="3" t="str">
        <f>"00558514"</f>
        <v>00558514</v>
      </c>
    </row>
    <row r="7249" spans="1:2" x14ac:dyDescent="0.25">
      <c r="A7249" s="4">
        <v>7244</v>
      </c>
      <c r="B7249" s="3" t="str">
        <f>"00558545"</f>
        <v>00558545</v>
      </c>
    </row>
    <row r="7250" spans="1:2" x14ac:dyDescent="0.25">
      <c r="A7250" s="4">
        <v>7245</v>
      </c>
      <c r="B7250" s="3" t="str">
        <f>"00558720"</f>
        <v>00558720</v>
      </c>
    </row>
    <row r="7251" spans="1:2" x14ac:dyDescent="0.25">
      <c r="A7251" s="4">
        <v>7246</v>
      </c>
      <c r="B7251" s="3" t="str">
        <f>"00558760"</f>
        <v>00558760</v>
      </c>
    </row>
    <row r="7252" spans="1:2" x14ac:dyDescent="0.25">
      <c r="A7252" s="4">
        <v>7247</v>
      </c>
      <c r="B7252" s="3" t="str">
        <f>"00558865"</f>
        <v>00558865</v>
      </c>
    </row>
    <row r="7253" spans="1:2" x14ac:dyDescent="0.25">
      <c r="A7253" s="4">
        <v>7248</v>
      </c>
      <c r="B7253" s="3" t="str">
        <f>"00558936"</f>
        <v>00558936</v>
      </c>
    </row>
    <row r="7254" spans="1:2" x14ac:dyDescent="0.25">
      <c r="A7254" s="4">
        <v>7249</v>
      </c>
      <c r="B7254" s="3" t="str">
        <f>"00558949"</f>
        <v>00558949</v>
      </c>
    </row>
    <row r="7255" spans="1:2" x14ac:dyDescent="0.25">
      <c r="A7255" s="4">
        <v>7250</v>
      </c>
      <c r="B7255" s="3" t="str">
        <f>"00559022"</f>
        <v>00559022</v>
      </c>
    </row>
    <row r="7256" spans="1:2" x14ac:dyDescent="0.25">
      <c r="A7256" s="4">
        <v>7251</v>
      </c>
      <c r="B7256" s="3" t="str">
        <f>"00559161"</f>
        <v>00559161</v>
      </c>
    </row>
    <row r="7257" spans="1:2" x14ac:dyDescent="0.25">
      <c r="A7257" s="4">
        <v>7252</v>
      </c>
      <c r="B7257" s="3" t="str">
        <f>"00559235"</f>
        <v>00559235</v>
      </c>
    </row>
    <row r="7258" spans="1:2" x14ac:dyDescent="0.25">
      <c r="A7258" s="4">
        <v>7253</v>
      </c>
      <c r="B7258" s="3" t="str">
        <f>"00559351"</f>
        <v>00559351</v>
      </c>
    </row>
    <row r="7259" spans="1:2" x14ac:dyDescent="0.25">
      <c r="A7259" s="4">
        <v>7254</v>
      </c>
      <c r="B7259" s="3" t="str">
        <f>"00559464"</f>
        <v>00559464</v>
      </c>
    </row>
    <row r="7260" spans="1:2" x14ac:dyDescent="0.25">
      <c r="A7260" s="4">
        <v>7255</v>
      </c>
      <c r="B7260" s="3" t="str">
        <f>"00559483"</f>
        <v>00559483</v>
      </c>
    </row>
    <row r="7261" spans="1:2" x14ac:dyDescent="0.25">
      <c r="A7261" s="4">
        <v>7256</v>
      </c>
      <c r="B7261" s="3" t="str">
        <f>"00559507"</f>
        <v>00559507</v>
      </c>
    </row>
    <row r="7262" spans="1:2" x14ac:dyDescent="0.25">
      <c r="A7262" s="4">
        <v>7257</v>
      </c>
      <c r="B7262" s="3" t="str">
        <f>"00559682"</f>
        <v>00559682</v>
      </c>
    </row>
    <row r="7263" spans="1:2" x14ac:dyDescent="0.25">
      <c r="A7263" s="4">
        <v>7258</v>
      </c>
      <c r="B7263" s="3" t="str">
        <f>"00559798"</f>
        <v>00559798</v>
      </c>
    </row>
    <row r="7264" spans="1:2" x14ac:dyDescent="0.25">
      <c r="A7264" s="4">
        <v>7259</v>
      </c>
      <c r="B7264" s="3" t="str">
        <f>"00559896"</f>
        <v>00559896</v>
      </c>
    </row>
    <row r="7265" spans="1:2" x14ac:dyDescent="0.25">
      <c r="A7265" s="4">
        <v>7260</v>
      </c>
      <c r="B7265" s="3" t="str">
        <f>"00560020"</f>
        <v>00560020</v>
      </c>
    </row>
    <row r="7266" spans="1:2" x14ac:dyDescent="0.25">
      <c r="A7266" s="4">
        <v>7261</v>
      </c>
      <c r="B7266" s="3" t="str">
        <f>"00560023"</f>
        <v>00560023</v>
      </c>
    </row>
    <row r="7267" spans="1:2" x14ac:dyDescent="0.25">
      <c r="A7267" s="4">
        <v>7262</v>
      </c>
      <c r="B7267" s="3" t="str">
        <f>"00560024"</f>
        <v>00560024</v>
      </c>
    </row>
    <row r="7268" spans="1:2" x14ac:dyDescent="0.25">
      <c r="A7268" s="4">
        <v>7263</v>
      </c>
      <c r="B7268" s="3" t="str">
        <f>"00560033"</f>
        <v>00560033</v>
      </c>
    </row>
    <row r="7269" spans="1:2" x14ac:dyDescent="0.25">
      <c r="A7269" s="4">
        <v>7264</v>
      </c>
      <c r="B7269" s="3" t="str">
        <f>"00560080"</f>
        <v>00560080</v>
      </c>
    </row>
    <row r="7270" spans="1:2" x14ac:dyDescent="0.25">
      <c r="A7270" s="4">
        <v>7265</v>
      </c>
      <c r="B7270" s="3" t="str">
        <f>"00560161"</f>
        <v>00560161</v>
      </c>
    </row>
    <row r="7271" spans="1:2" x14ac:dyDescent="0.25">
      <c r="A7271" s="4">
        <v>7266</v>
      </c>
      <c r="B7271" s="3" t="str">
        <f>"00560192"</f>
        <v>00560192</v>
      </c>
    </row>
    <row r="7272" spans="1:2" x14ac:dyDescent="0.25">
      <c r="A7272" s="4">
        <v>7267</v>
      </c>
      <c r="B7272" s="3" t="str">
        <f>"00560252"</f>
        <v>00560252</v>
      </c>
    </row>
    <row r="7273" spans="1:2" x14ac:dyDescent="0.25">
      <c r="A7273" s="4">
        <v>7268</v>
      </c>
      <c r="B7273" s="3" t="str">
        <f>"00560253"</f>
        <v>00560253</v>
      </c>
    </row>
    <row r="7274" spans="1:2" x14ac:dyDescent="0.25">
      <c r="A7274" s="4">
        <v>7269</v>
      </c>
      <c r="B7274" s="3" t="str">
        <f>"00560275"</f>
        <v>00560275</v>
      </c>
    </row>
    <row r="7275" spans="1:2" x14ac:dyDescent="0.25">
      <c r="A7275" s="4">
        <v>7270</v>
      </c>
      <c r="B7275" s="3" t="str">
        <f>"00560326"</f>
        <v>00560326</v>
      </c>
    </row>
    <row r="7276" spans="1:2" x14ac:dyDescent="0.25">
      <c r="A7276" s="4">
        <v>7271</v>
      </c>
      <c r="B7276" s="3" t="str">
        <f>"00560331"</f>
        <v>00560331</v>
      </c>
    </row>
    <row r="7277" spans="1:2" x14ac:dyDescent="0.25">
      <c r="A7277" s="4">
        <v>7272</v>
      </c>
      <c r="B7277" s="3" t="str">
        <f>"00560334"</f>
        <v>00560334</v>
      </c>
    </row>
    <row r="7278" spans="1:2" x14ac:dyDescent="0.25">
      <c r="A7278" s="4">
        <v>7273</v>
      </c>
      <c r="B7278" s="3" t="str">
        <f>"00560337"</f>
        <v>00560337</v>
      </c>
    </row>
    <row r="7279" spans="1:2" x14ac:dyDescent="0.25">
      <c r="A7279" s="4">
        <v>7274</v>
      </c>
      <c r="B7279" s="3" t="str">
        <f>"00560392"</f>
        <v>00560392</v>
      </c>
    </row>
    <row r="7280" spans="1:2" x14ac:dyDescent="0.25">
      <c r="A7280" s="4">
        <v>7275</v>
      </c>
      <c r="B7280" s="3" t="str">
        <f>"00560443"</f>
        <v>00560443</v>
      </c>
    </row>
    <row r="7281" spans="1:2" x14ac:dyDescent="0.25">
      <c r="A7281" s="4">
        <v>7276</v>
      </c>
      <c r="B7281" s="3" t="str">
        <f>"00560452"</f>
        <v>00560452</v>
      </c>
    </row>
    <row r="7282" spans="1:2" x14ac:dyDescent="0.25">
      <c r="A7282" s="4">
        <v>7277</v>
      </c>
      <c r="B7282" s="3" t="str">
        <f>"00560453"</f>
        <v>00560453</v>
      </c>
    </row>
    <row r="7283" spans="1:2" x14ac:dyDescent="0.25">
      <c r="A7283" s="4">
        <v>7278</v>
      </c>
      <c r="B7283" s="3" t="str">
        <f>"00560456"</f>
        <v>00560456</v>
      </c>
    </row>
    <row r="7284" spans="1:2" x14ac:dyDescent="0.25">
      <c r="A7284" s="4">
        <v>7279</v>
      </c>
      <c r="B7284" s="3" t="str">
        <f>"00560484"</f>
        <v>00560484</v>
      </c>
    </row>
    <row r="7285" spans="1:2" x14ac:dyDescent="0.25">
      <c r="A7285" s="4">
        <v>7280</v>
      </c>
      <c r="B7285" s="3" t="str">
        <f>"00560530"</f>
        <v>00560530</v>
      </c>
    </row>
    <row r="7286" spans="1:2" x14ac:dyDescent="0.25">
      <c r="A7286" s="4">
        <v>7281</v>
      </c>
      <c r="B7286" s="3" t="str">
        <f>"00560534"</f>
        <v>00560534</v>
      </c>
    </row>
    <row r="7287" spans="1:2" x14ac:dyDescent="0.25">
      <c r="A7287" s="4">
        <v>7282</v>
      </c>
      <c r="B7287" s="3" t="str">
        <f>"00560579"</f>
        <v>00560579</v>
      </c>
    </row>
    <row r="7288" spans="1:2" x14ac:dyDescent="0.25">
      <c r="A7288" s="4">
        <v>7283</v>
      </c>
      <c r="B7288" s="3" t="str">
        <f>"00560632"</f>
        <v>00560632</v>
      </c>
    </row>
    <row r="7289" spans="1:2" x14ac:dyDescent="0.25">
      <c r="A7289" s="4">
        <v>7284</v>
      </c>
      <c r="B7289" s="3" t="str">
        <f>"00560724"</f>
        <v>00560724</v>
      </c>
    </row>
    <row r="7290" spans="1:2" x14ac:dyDescent="0.25">
      <c r="A7290" s="4">
        <v>7285</v>
      </c>
      <c r="B7290" s="3" t="str">
        <f>"00560789"</f>
        <v>00560789</v>
      </c>
    </row>
    <row r="7291" spans="1:2" x14ac:dyDescent="0.25">
      <c r="A7291" s="4">
        <v>7286</v>
      </c>
      <c r="B7291" s="3" t="str">
        <f>"00560793"</f>
        <v>00560793</v>
      </c>
    </row>
    <row r="7292" spans="1:2" x14ac:dyDescent="0.25">
      <c r="A7292" s="4">
        <v>7287</v>
      </c>
      <c r="B7292" s="3" t="str">
        <f>"00560819"</f>
        <v>00560819</v>
      </c>
    </row>
    <row r="7293" spans="1:2" x14ac:dyDescent="0.25">
      <c r="A7293" s="4">
        <v>7288</v>
      </c>
      <c r="B7293" s="3" t="str">
        <f>"00560822"</f>
        <v>00560822</v>
      </c>
    </row>
    <row r="7294" spans="1:2" x14ac:dyDescent="0.25">
      <c r="A7294" s="4">
        <v>7289</v>
      </c>
      <c r="B7294" s="3" t="str">
        <f>"00560830"</f>
        <v>00560830</v>
      </c>
    </row>
    <row r="7295" spans="1:2" x14ac:dyDescent="0.25">
      <c r="A7295" s="4">
        <v>7290</v>
      </c>
      <c r="B7295" s="3" t="str">
        <f>"00560837"</f>
        <v>00560837</v>
      </c>
    </row>
    <row r="7296" spans="1:2" x14ac:dyDescent="0.25">
      <c r="A7296" s="4">
        <v>7291</v>
      </c>
      <c r="B7296" s="3" t="str">
        <f>"00560838"</f>
        <v>00560838</v>
      </c>
    </row>
    <row r="7297" spans="1:2" x14ac:dyDescent="0.25">
      <c r="A7297" s="4">
        <v>7292</v>
      </c>
      <c r="B7297" s="3" t="str">
        <f>"00560856"</f>
        <v>00560856</v>
      </c>
    </row>
    <row r="7298" spans="1:2" x14ac:dyDescent="0.25">
      <c r="A7298" s="4">
        <v>7293</v>
      </c>
      <c r="B7298" s="3" t="str">
        <f>"00560926"</f>
        <v>00560926</v>
      </c>
    </row>
    <row r="7299" spans="1:2" x14ac:dyDescent="0.25">
      <c r="A7299" s="4">
        <v>7294</v>
      </c>
      <c r="B7299" s="3" t="str">
        <f>"00560935"</f>
        <v>00560935</v>
      </c>
    </row>
    <row r="7300" spans="1:2" x14ac:dyDescent="0.25">
      <c r="A7300" s="4">
        <v>7295</v>
      </c>
      <c r="B7300" s="3" t="str">
        <f>"00560951"</f>
        <v>00560951</v>
      </c>
    </row>
    <row r="7301" spans="1:2" x14ac:dyDescent="0.25">
      <c r="A7301" s="4">
        <v>7296</v>
      </c>
      <c r="B7301" s="3" t="str">
        <f>"00560952"</f>
        <v>00560952</v>
      </c>
    </row>
    <row r="7302" spans="1:2" x14ac:dyDescent="0.25">
      <c r="A7302" s="4">
        <v>7297</v>
      </c>
      <c r="B7302" s="3" t="str">
        <f>"00561017"</f>
        <v>00561017</v>
      </c>
    </row>
    <row r="7303" spans="1:2" x14ac:dyDescent="0.25">
      <c r="A7303" s="4">
        <v>7298</v>
      </c>
      <c r="B7303" s="3" t="str">
        <f>"00561022"</f>
        <v>00561022</v>
      </c>
    </row>
    <row r="7304" spans="1:2" x14ac:dyDescent="0.25">
      <c r="A7304" s="4">
        <v>7299</v>
      </c>
      <c r="B7304" s="3" t="str">
        <f>"00561100"</f>
        <v>00561100</v>
      </c>
    </row>
    <row r="7305" spans="1:2" x14ac:dyDescent="0.25">
      <c r="A7305" s="4">
        <v>7300</v>
      </c>
      <c r="B7305" s="3" t="str">
        <f>"00561143"</f>
        <v>00561143</v>
      </c>
    </row>
    <row r="7306" spans="1:2" x14ac:dyDescent="0.25">
      <c r="A7306" s="4">
        <v>7301</v>
      </c>
      <c r="B7306" s="3" t="str">
        <f>"00561178"</f>
        <v>00561178</v>
      </c>
    </row>
    <row r="7307" spans="1:2" x14ac:dyDescent="0.25">
      <c r="A7307" s="4">
        <v>7302</v>
      </c>
      <c r="B7307" s="3" t="str">
        <f>"00561198"</f>
        <v>00561198</v>
      </c>
    </row>
    <row r="7308" spans="1:2" x14ac:dyDescent="0.25">
      <c r="A7308" s="4">
        <v>7303</v>
      </c>
      <c r="B7308" s="3" t="str">
        <f>"00561223"</f>
        <v>00561223</v>
      </c>
    </row>
    <row r="7309" spans="1:2" x14ac:dyDescent="0.25">
      <c r="A7309" s="4">
        <v>7304</v>
      </c>
      <c r="B7309" s="3" t="str">
        <f>"00561225"</f>
        <v>00561225</v>
      </c>
    </row>
    <row r="7310" spans="1:2" x14ac:dyDescent="0.25">
      <c r="A7310" s="4">
        <v>7305</v>
      </c>
      <c r="B7310" s="3" t="str">
        <f>"00561289"</f>
        <v>00561289</v>
      </c>
    </row>
    <row r="7311" spans="1:2" x14ac:dyDescent="0.25">
      <c r="A7311" s="4">
        <v>7306</v>
      </c>
      <c r="B7311" s="3" t="str">
        <f>"00561395"</f>
        <v>00561395</v>
      </c>
    </row>
    <row r="7312" spans="1:2" x14ac:dyDescent="0.25">
      <c r="A7312" s="4">
        <v>7307</v>
      </c>
      <c r="B7312" s="3" t="str">
        <f>"00561427"</f>
        <v>00561427</v>
      </c>
    </row>
    <row r="7313" spans="1:2" x14ac:dyDescent="0.25">
      <c r="A7313" s="4">
        <v>7308</v>
      </c>
      <c r="B7313" s="3" t="str">
        <f>"00561479"</f>
        <v>00561479</v>
      </c>
    </row>
    <row r="7314" spans="1:2" x14ac:dyDescent="0.25">
      <c r="A7314" s="4">
        <v>7309</v>
      </c>
      <c r="B7314" s="3" t="str">
        <f>"00561492"</f>
        <v>00561492</v>
      </c>
    </row>
    <row r="7315" spans="1:2" x14ac:dyDescent="0.25">
      <c r="A7315" s="4">
        <v>7310</v>
      </c>
      <c r="B7315" s="3" t="str">
        <f>"00561531"</f>
        <v>00561531</v>
      </c>
    </row>
    <row r="7316" spans="1:2" x14ac:dyDescent="0.25">
      <c r="A7316" s="4">
        <v>7311</v>
      </c>
      <c r="B7316" s="3" t="str">
        <f>"00561538"</f>
        <v>00561538</v>
      </c>
    </row>
    <row r="7317" spans="1:2" x14ac:dyDescent="0.25">
      <c r="A7317" s="4">
        <v>7312</v>
      </c>
      <c r="B7317" s="3" t="str">
        <f>"00561575"</f>
        <v>00561575</v>
      </c>
    </row>
    <row r="7318" spans="1:2" x14ac:dyDescent="0.25">
      <c r="A7318" s="4">
        <v>7313</v>
      </c>
      <c r="B7318" s="3" t="str">
        <f>"00561580"</f>
        <v>00561580</v>
      </c>
    </row>
    <row r="7319" spans="1:2" x14ac:dyDescent="0.25">
      <c r="A7319" s="4">
        <v>7314</v>
      </c>
      <c r="B7319" s="3" t="str">
        <f>"00561643"</f>
        <v>00561643</v>
      </c>
    </row>
    <row r="7320" spans="1:2" x14ac:dyDescent="0.25">
      <c r="A7320" s="4">
        <v>7315</v>
      </c>
      <c r="B7320" s="3" t="str">
        <f>"00561671"</f>
        <v>00561671</v>
      </c>
    </row>
    <row r="7321" spans="1:2" x14ac:dyDescent="0.25">
      <c r="A7321" s="4">
        <v>7316</v>
      </c>
      <c r="B7321" s="3" t="str">
        <f>"00561679"</f>
        <v>00561679</v>
      </c>
    </row>
    <row r="7322" spans="1:2" x14ac:dyDescent="0.25">
      <c r="A7322" s="4">
        <v>7317</v>
      </c>
      <c r="B7322" s="3" t="str">
        <f>"00561711"</f>
        <v>00561711</v>
      </c>
    </row>
    <row r="7323" spans="1:2" x14ac:dyDescent="0.25">
      <c r="A7323" s="4">
        <v>7318</v>
      </c>
      <c r="B7323" s="3" t="str">
        <f>"00561731"</f>
        <v>00561731</v>
      </c>
    </row>
    <row r="7324" spans="1:2" x14ac:dyDescent="0.25">
      <c r="A7324" s="4">
        <v>7319</v>
      </c>
      <c r="B7324" s="3" t="str">
        <f>"00561744"</f>
        <v>00561744</v>
      </c>
    </row>
    <row r="7325" spans="1:2" x14ac:dyDescent="0.25">
      <c r="A7325" s="4">
        <v>7320</v>
      </c>
      <c r="B7325" s="3" t="str">
        <f>"00561770"</f>
        <v>00561770</v>
      </c>
    </row>
    <row r="7326" spans="1:2" x14ac:dyDescent="0.25">
      <c r="A7326" s="4">
        <v>7321</v>
      </c>
      <c r="B7326" s="3" t="str">
        <f>"00561823"</f>
        <v>00561823</v>
      </c>
    </row>
    <row r="7327" spans="1:2" x14ac:dyDescent="0.25">
      <c r="A7327" s="4">
        <v>7322</v>
      </c>
      <c r="B7327" s="3" t="str">
        <f>"00561829"</f>
        <v>00561829</v>
      </c>
    </row>
    <row r="7328" spans="1:2" x14ac:dyDescent="0.25">
      <c r="A7328" s="4">
        <v>7323</v>
      </c>
      <c r="B7328" s="3" t="str">
        <f>"00561841"</f>
        <v>00561841</v>
      </c>
    </row>
    <row r="7329" spans="1:2" x14ac:dyDescent="0.25">
      <c r="A7329" s="4">
        <v>7324</v>
      </c>
      <c r="B7329" s="3" t="str">
        <f>"00561878"</f>
        <v>00561878</v>
      </c>
    </row>
    <row r="7330" spans="1:2" x14ac:dyDescent="0.25">
      <c r="A7330" s="4">
        <v>7325</v>
      </c>
      <c r="B7330" s="3" t="str">
        <f>"00561879"</f>
        <v>00561879</v>
      </c>
    </row>
    <row r="7331" spans="1:2" x14ac:dyDescent="0.25">
      <c r="A7331" s="4">
        <v>7326</v>
      </c>
      <c r="B7331" s="3" t="str">
        <f>"00561887"</f>
        <v>00561887</v>
      </c>
    </row>
    <row r="7332" spans="1:2" x14ac:dyDescent="0.25">
      <c r="A7332" s="4">
        <v>7327</v>
      </c>
      <c r="B7332" s="3" t="str">
        <f>"00561900"</f>
        <v>00561900</v>
      </c>
    </row>
    <row r="7333" spans="1:2" x14ac:dyDescent="0.25">
      <c r="A7333" s="4">
        <v>7328</v>
      </c>
      <c r="B7333" s="3" t="str">
        <f>"00561925"</f>
        <v>00561925</v>
      </c>
    </row>
    <row r="7334" spans="1:2" x14ac:dyDescent="0.25">
      <c r="A7334" s="4">
        <v>7329</v>
      </c>
      <c r="B7334" s="3" t="str">
        <f>"00561943"</f>
        <v>00561943</v>
      </c>
    </row>
    <row r="7335" spans="1:2" x14ac:dyDescent="0.25">
      <c r="A7335" s="4">
        <v>7330</v>
      </c>
      <c r="B7335" s="3" t="str">
        <f>"00561952"</f>
        <v>00561952</v>
      </c>
    </row>
    <row r="7336" spans="1:2" x14ac:dyDescent="0.25">
      <c r="A7336" s="4">
        <v>7331</v>
      </c>
      <c r="B7336" s="3" t="str">
        <f>"00561955"</f>
        <v>00561955</v>
      </c>
    </row>
    <row r="7337" spans="1:2" x14ac:dyDescent="0.25">
      <c r="A7337" s="4">
        <v>7332</v>
      </c>
      <c r="B7337" s="3" t="str">
        <f>"00561988"</f>
        <v>00561988</v>
      </c>
    </row>
    <row r="7338" spans="1:2" x14ac:dyDescent="0.25">
      <c r="A7338" s="4">
        <v>7333</v>
      </c>
      <c r="B7338" s="3" t="str">
        <f>"00562002"</f>
        <v>00562002</v>
      </c>
    </row>
    <row r="7339" spans="1:2" x14ac:dyDescent="0.25">
      <c r="A7339" s="4">
        <v>7334</v>
      </c>
      <c r="B7339" s="3" t="str">
        <f>"00562016"</f>
        <v>00562016</v>
      </c>
    </row>
    <row r="7340" spans="1:2" x14ac:dyDescent="0.25">
      <c r="A7340" s="4">
        <v>7335</v>
      </c>
      <c r="B7340" s="3" t="str">
        <f>"00562046"</f>
        <v>00562046</v>
      </c>
    </row>
    <row r="7341" spans="1:2" x14ac:dyDescent="0.25">
      <c r="A7341" s="4">
        <v>7336</v>
      </c>
      <c r="B7341" s="3" t="str">
        <f>"00562066"</f>
        <v>00562066</v>
      </c>
    </row>
    <row r="7342" spans="1:2" x14ac:dyDescent="0.25">
      <c r="A7342" s="4">
        <v>7337</v>
      </c>
      <c r="B7342" s="3" t="str">
        <f>"00562083"</f>
        <v>00562083</v>
      </c>
    </row>
    <row r="7343" spans="1:2" x14ac:dyDescent="0.25">
      <c r="A7343" s="4">
        <v>7338</v>
      </c>
      <c r="B7343" s="3" t="str">
        <f>"00562190"</f>
        <v>00562190</v>
      </c>
    </row>
    <row r="7344" spans="1:2" x14ac:dyDescent="0.25">
      <c r="A7344" s="4">
        <v>7339</v>
      </c>
      <c r="B7344" s="3" t="str">
        <f>"00562222"</f>
        <v>00562222</v>
      </c>
    </row>
    <row r="7345" spans="1:2" x14ac:dyDescent="0.25">
      <c r="A7345" s="4">
        <v>7340</v>
      </c>
      <c r="B7345" s="3" t="str">
        <f>"00562240"</f>
        <v>00562240</v>
      </c>
    </row>
    <row r="7346" spans="1:2" x14ac:dyDescent="0.25">
      <c r="A7346" s="4">
        <v>7341</v>
      </c>
      <c r="B7346" s="3" t="str">
        <f>"00562248"</f>
        <v>00562248</v>
      </c>
    </row>
    <row r="7347" spans="1:2" x14ac:dyDescent="0.25">
      <c r="A7347" s="4">
        <v>7342</v>
      </c>
      <c r="B7347" s="3" t="str">
        <f>"00562274"</f>
        <v>00562274</v>
      </c>
    </row>
    <row r="7348" spans="1:2" x14ac:dyDescent="0.25">
      <c r="A7348" s="4">
        <v>7343</v>
      </c>
      <c r="B7348" s="3" t="str">
        <f>"00562287"</f>
        <v>00562287</v>
      </c>
    </row>
    <row r="7349" spans="1:2" x14ac:dyDescent="0.25">
      <c r="A7349" s="4">
        <v>7344</v>
      </c>
      <c r="B7349" s="3" t="str">
        <f>"00562295"</f>
        <v>00562295</v>
      </c>
    </row>
    <row r="7350" spans="1:2" x14ac:dyDescent="0.25">
      <c r="A7350" s="4">
        <v>7345</v>
      </c>
      <c r="B7350" s="3" t="str">
        <f>"00562343"</f>
        <v>00562343</v>
      </c>
    </row>
    <row r="7351" spans="1:2" x14ac:dyDescent="0.25">
      <c r="A7351" s="4">
        <v>7346</v>
      </c>
      <c r="B7351" s="3" t="str">
        <f>"00562345"</f>
        <v>00562345</v>
      </c>
    </row>
    <row r="7352" spans="1:2" x14ac:dyDescent="0.25">
      <c r="A7352" s="4">
        <v>7347</v>
      </c>
      <c r="B7352" s="3" t="str">
        <f>"00562363"</f>
        <v>00562363</v>
      </c>
    </row>
    <row r="7353" spans="1:2" x14ac:dyDescent="0.25">
      <c r="A7353" s="4">
        <v>7348</v>
      </c>
      <c r="B7353" s="3" t="str">
        <f>"00562380"</f>
        <v>00562380</v>
      </c>
    </row>
    <row r="7354" spans="1:2" x14ac:dyDescent="0.25">
      <c r="A7354" s="4">
        <v>7349</v>
      </c>
      <c r="B7354" s="3" t="str">
        <f>"00562464"</f>
        <v>00562464</v>
      </c>
    </row>
    <row r="7355" spans="1:2" x14ac:dyDescent="0.25">
      <c r="A7355" s="4">
        <v>7350</v>
      </c>
      <c r="B7355" s="3" t="str">
        <f>"00562482"</f>
        <v>00562482</v>
      </c>
    </row>
    <row r="7356" spans="1:2" x14ac:dyDescent="0.25">
      <c r="A7356" s="4">
        <v>7351</v>
      </c>
      <c r="B7356" s="3" t="str">
        <f>"00562485"</f>
        <v>00562485</v>
      </c>
    </row>
    <row r="7357" spans="1:2" x14ac:dyDescent="0.25">
      <c r="A7357" s="4">
        <v>7352</v>
      </c>
      <c r="B7357" s="3" t="str">
        <f>"00562500"</f>
        <v>00562500</v>
      </c>
    </row>
    <row r="7358" spans="1:2" x14ac:dyDescent="0.25">
      <c r="A7358" s="4">
        <v>7353</v>
      </c>
      <c r="B7358" s="3" t="str">
        <f>"00562547"</f>
        <v>00562547</v>
      </c>
    </row>
    <row r="7359" spans="1:2" x14ac:dyDescent="0.25">
      <c r="A7359" s="4">
        <v>7354</v>
      </c>
      <c r="B7359" s="3" t="str">
        <f>"00562568"</f>
        <v>00562568</v>
      </c>
    </row>
    <row r="7360" spans="1:2" x14ac:dyDescent="0.25">
      <c r="A7360" s="4">
        <v>7355</v>
      </c>
      <c r="B7360" s="3" t="str">
        <f>"00562642"</f>
        <v>00562642</v>
      </c>
    </row>
    <row r="7361" spans="1:2" x14ac:dyDescent="0.25">
      <c r="A7361" s="4">
        <v>7356</v>
      </c>
      <c r="B7361" s="3" t="str">
        <f>"00562651"</f>
        <v>00562651</v>
      </c>
    </row>
    <row r="7362" spans="1:2" x14ac:dyDescent="0.25">
      <c r="A7362" s="4">
        <v>7357</v>
      </c>
      <c r="B7362" s="3" t="str">
        <f>"00562665"</f>
        <v>00562665</v>
      </c>
    </row>
    <row r="7363" spans="1:2" x14ac:dyDescent="0.25">
      <c r="A7363" s="4">
        <v>7358</v>
      </c>
      <c r="B7363" s="3" t="str">
        <f>"00562682"</f>
        <v>00562682</v>
      </c>
    </row>
    <row r="7364" spans="1:2" x14ac:dyDescent="0.25">
      <c r="A7364" s="4">
        <v>7359</v>
      </c>
      <c r="B7364" s="3" t="str">
        <f>"00562759"</f>
        <v>00562759</v>
      </c>
    </row>
    <row r="7365" spans="1:2" x14ac:dyDescent="0.25">
      <c r="A7365" s="4">
        <v>7360</v>
      </c>
      <c r="B7365" s="3" t="str">
        <f>"00562774"</f>
        <v>00562774</v>
      </c>
    </row>
    <row r="7366" spans="1:2" x14ac:dyDescent="0.25">
      <c r="A7366" s="4">
        <v>7361</v>
      </c>
      <c r="B7366" s="3" t="str">
        <f>"00562787"</f>
        <v>00562787</v>
      </c>
    </row>
    <row r="7367" spans="1:2" x14ac:dyDescent="0.25">
      <c r="A7367" s="4">
        <v>7362</v>
      </c>
      <c r="B7367" s="3" t="str">
        <f>"00562842"</f>
        <v>00562842</v>
      </c>
    </row>
    <row r="7368" spans="1:2" x14ac:dyDescent="0.25">
      <c r="A7368" s="4">
        <v>7363</v>
      </c>
      <c r="B7368" s="3" t="str">
        <f>"00562921"</f>
        <v>00562921</v>
      </c>
    </row>
    <row r="7369" spans="1:2" x14ac:dyDescent="0.25">
      <c r="A7369" s="4">
        <v>7364</v>
      </c>
      <c r="B7369" s="3" t="str">
        <f>"00562922"</f>
        <v>00562922</v>
      </c>
    </row>
    <row r="7370" spans="1:2" x14ac:dyDescent="0.25">
      <c r="A7370" s="4">
        <v>7365</v>
      </c>
      <c r="B7370" s="3" t="str">
        <f>"00562980"</f>
        <v>00562980</v>
      </c>
    </row>
    <row r="7371" spans="1:2" x14ac:dyDescent="0.25">
      <c r="A7371" s="4">
        <v>7366</v>
      </c>
      <c r="B7371" s="3" t="str">
        <f>"00563061"</f>
        <v>00563061</v>
      </c>
    </row>
    <row r="7372" spans="1:2" x14ac:dyDescent="0.25">
      <c r="A7372" s="4">
        <v>7367</v>
      </c>
      <c r="B7372" s="3" t="str">
        <f>"00563312"</f>
        <v>00563312</v>
      </c>
    </row>
    <row r="7373" spans="1:2" x14ac:dyDescent="0.25">
      <c r="A7373" s="4">
        <v>7368</v>
      </c>
      <c r="B7373" s="3" t="str">
        <f>"00563409"</f>
        <v>00563409</v>
      </c>
    </row>
    <row r="7374" spans="1:2" x14ac:dyDescent="0.25">
      <c r="A7374" s="4">
        <v>7369</v>
      </c>
      <c r="B7374" s="3" t="str">
        <f>"00563423"</f>
        <v>00563423</v>
      </c>
    </row>
    <row r="7375" spans="1:2" x14ac:dyDescent="0.25">
      <c r="A7375" s="4">
        <v>7370</v>
      </c>
      <c r="B7375" s="3" t="str">
        <f>"00563441"</f>
        <v>00563441</v>
      </c>
    </row>
    <row r="7376" spans="1:2" x14ac:dyDescent="0.25">
      <c r="A7376" s="4">
        <v>7371</v>
      </c>
      <c r="B7376" s="3" t="str">
        <f>"00563524"</f>
        <v>00563524</v>
      </c>
    </row>
    <row r="7377" spans="1:2" x14ac:dyDescent="0.25">
      <c r="A7377" s="4">
        <v>7372</v>
      </c>
      <c r="B7377" s="3" t="str">
        <f>"00563653"</f>
        <v>00563653</v>
      </c>
    </row>
    <row r="7378" spans="1:2" x14ac:dyDescent="0.25">
      <c r="A7378" s="4">
        <v>7373</v>
      </c>
      <c r="B7378" s="3" t="str">
        <f>"00563747"</f>
        <v>00563747</v>
      </c>
    </row>
    <row r="7379" spans="1:2" x14ac:dyDescent="0.25">
      <c r="A7379" s="4">
        <v>7374</v>
      </c>
      <c r="B7379" s="3" t="str">
        <f>"00564032"</f>
        <v>00564032</v>
      </c>
    </row>
    <row r="7380" spans="1:2" x14ac:dyDescent="0.25">
      <c r="A7380" s="4">
        <v>7375</v>
      </c>
      <c r="B7380" s="3" t="str">
        <f>"00564077"</f>
        <v>00564077</v>
      </c>
    </row>
    <row r="7381" spans="1:2" x14ac:dyDescent="0.25">
      <c r="A7381" s="4">
        <v>7376</v>
      </c>
      <c r="B7381" s="3" t="str">
        <f>"00564216"</f>
        <v>00564216</v>
      </c>
    </row>
    <row r="7382" spans="1:2" x14ac:dyDescent="0.25">
      <c r="A7382" s="4">
        <v>7377</v>
      </c>
      <c r="B7382" s="3" t="str">
        <f>"00564308"</f>
        <v>00564308</v>
      </c>
    </row>
    <row r="7383" spans="1:2" x14ac:dyDescent="0.25">
      <c r="A7383" s="4">
        <v>7378</v>
      </c>
      <c r="B7383" s="3" t="str">
        <f>"00564665"</f>
        <v>00564665</v>
      </c>
    </row>
    <row r="7384" spans="1:2" x14ac:dyDescent="0.25">
      <c r="A7384" s="4">
        <v>7379</v>
      </c>
      <c r="B7384" s="3" t="str">
        <f>"00564712"</f>
        <v>00564712</v>
      </c>
    </row>
    <row r="7385" spans="1:2" x14ac:dyDescent="0.25">
      <c r="A7385" s="4">
        <v>7380</v>
      </c>
      <c r="B7385" s="3" t="str">
        <f>"00565004"</f>
        <v>00565004</v>
      </c>
    </row>
    <row r="7386" spans="1:2" x14ac:dyDescent="0.25">
      <c r="A7386" s="4">
        <v>7381</v>
      </c>
      <c r="B7386" s="3" t="str">
        <f>"00565104"</f>
        <v>00565104</v>
      </c>
    </row>
    <row r="7387" spans="1:2" x14ac:dyDescent="0.25">
      <c r="A7387" s="4">
        <v>7382</v>
      </c>
      <c r="B7387" s="3" t="str">
        <f>"00565180"</f>
        <v>00565180</v>
      </c>
    </row>
    <row r="7388" spans="1:2" x14ac:dyDescent="0.25">
      <c r="A7388" s="4">
        <v>7383</v>
      </c>
      <c r="B7388" s="3" t="str">
        <f>"00565258"</f>
        <v>00565258</v>
      </c>
    </row>
    <row r="7389" spans="1:2" x14ac:dyDescent="0.25">
      <c r="A7389" s="4">
        <v>7384</v>
      </c>
      <c r="B7389" s="3" t="str">
        <f>"00565285"</f>
        <v>00565285</v>
      </c>
    </row>
    <row r="7390" spans="1:2" x14ac:dyDescent="0.25">
      <c r="A7390" s="4">
        <v>7385</v>
      </c>
      <c r="B7390" s="3" t="str">
        <f>"00565398"</f>
        <v>00565398</v>
      </c>
    </row>
    <row r="7391" spans="1:2" x14ac:dyDescent="0.25">
      <c r="A7391" s="4">
        <v>7386</v>
      </c>
      <c r="B7391" s="3" t="str">
        <f>"00565435"</f>
        <v>00565435</v>
      </c>
    </row>
    <row r="7392" spans="1:2" x14ac:dyDescent="0.25">
      <c r="A7392" s="4">
        <v>7387</v>
      </c>
      <c r="B7392" s="3" t="str">
        <f>"00565441"</f>
        <v>00565441</v>
      </c>
    </row>
    <row r="7393" spans="1:2" x14ac:dyDescent="0.25">
      <c r="A7393" s="4">
        <v>7388</v>
      </c>
      <c r="B7393" s="3" t="str">
        <f>"00565478"</f>
        <v>00565478</v>
      </c>
    </row>
    <row r="7394" spans="1:2" x14ac:dyDescent="0.25">
      <c r="A7394" s="4">
        <v>7389</v>
      </c>
      <c r="B7394" s="3" t="str">
        <f>"00565590"</f>
        <v>00565590</v>
      </c>
    </row>
    <row r="7395" spans="1:2" x14ac:dyDescent="0.25">
      <c r="A7395" s="4">
        <v>7390</v>
      </c>
      <c r="B7395" s="3" t="str">
        <f>"00565594"</f>
        <v>00565594</v>
      </c>
    </row>
    <row r="7396" spans="1:2" x14ac:dyDescent="0.25">
      <c r="A7396" s="4">
        <v>7391</v>
      </c>
      <c r="B7396" s="3" t="str">
        <f>"00565639"</f>
        <v>00565639</v>
      </c>
    </row>
    <row r="7397" spans="1:2" x14ac:dyDescent="0.25">
      <c r="A7397" s="4">
        <v>7392</v>
      </c>
      <c r="B7397" s="3" t="str">
        <f>"00565643"</f>
        <v>00565643</v>
      </c>
    </row>
    <row r="7398" spans="1:2" x14ac:dyDescent="0.25">
      <c r="A7398" s="4">
        <v>7393</v>
      </c>
      <c r="B7398" s="3" t="str">
        <f>"00565733"</f>
        <v>00565733</v>
      </c>
    </row>
    <row r="7399" spans="1:2" x14ac:dyDescent="0.25">
      <c r="A7399" s="4">
        <v>7394</v>
      </c>
      <c r="B7399" s="3" t="str">
        <f>"00565737"</f>
        <v>00565737</v>
      </c>
    </row>
    <row r="7400" spans="1:2" x14ac:dyDescent="0.25">
      <c r="A7400" s="4">
        <v>7395</v>
      </c>
      <c r="B7400" s="3" t="str">
        <f>"00565983"</f>
        <v>00565983</v>
      </c>
    </row>
    <row r="7401" spans="1:2" x14ac:dyDescent="0.25">
      <c r="A7401" s="4">
        <v>7396</v>
      </c>
      <c r="B7401" s="3" t="str">
        <f>"00566062"</f>
        <v>00566062</v>
      </c>
    </row>
    <row r="7402" spans="1:2" x14ac:dyDescent="0.25">
      <c r="A7402" s="4">
        <v>7397</v>
      </c>
      <c r="B7402" s="3" t="str">
        <f>"00566086"</f>
        <v>00566086</v>
      </c>
    </row>
    <row r="7403" spans="1:2" x14ac:dyDescent="0.25">
      <c r="A7403" s="4">
        <v>7398</v>
      </c>
      <c r="B7403" s="3" t="str">
        <f>"00566108"</f>
        <v>00566108</v>
      </c>
    </row>
    <row r="7404" spans="1:2" x14ac:dyDescent="0.25">
      <c r="A7404" s="4">
        <v>7399</v>
      </c>
      <c r="B7404" s="3" t="str">
        <f>"00566151"</f>
        <v>00566151</v>
      </c>
    </row>
    <row r="7405" spans="1:2" x14ac:dyDescent="0.25">
      <c r="A7405" s="4">
        <v>7400</v>
      </c>
      <c r="B7405" s="3" t="str">
        <f>"00566271"</f>
        <v>00566271</v>
      </c>
    </row>
    <row r="7406" spans="1:2" x14ac:dyDescent="0.25">
      <c r="A7406" s="4">
        <v>7401</v>
      </c>
      <c r="B7406" s="3" t="str">
        <f>"00566540"</f>
        <v>00566540</v>
      </c>
    </row>
    <row r="7407" spans="1:2" x14ac:dyDescent="0.25">
      <c r="A7407" s="4">
        <v>7402</v>
      </c>
      <c r="B7407" s="3" t="str">
        <f>"00566779"</f>
        <v>00566779</v>
      </c>
    </row>
    <row r="7408" spans="1:2" x14ac:dyDescent="0.25">
      <c r="A7408" s="4">
        <v>7403</v>
      </c>
      <c r="B7408" s="3" t="str">
        <f>"00566828"</f>
        <v>00566828</v>
      </c>
    </row>
    <row r="7409" spans="1:2" x14ac:dyDescent="0.25">
      <c r="A7409" s="4">
        <v>7404</v>
      </c>
      <c r="B7409" s="3" t="str">
        <f>"00566900"</f>
        <v>00566900</v>
      </c>
    </row>
    <row r="7410" spans="1:2" x14ac:dyDescent="0.25">
      <c r="A7410" s="4">
        <v>7405</v>
      </c>
      <c r="B7410" s="3" t="str">
        <f>"00566988"</f>
        <v>00566988</v>
      </c>
    </row>
    <row r="7411" spans="1:2" x14ac:dyDescent="0.25">
      <c r="A7411" s="4">
        <v>7406</v>
      </c>
      <c r="B7411" s="3" t="str">
        <f>"00566990"</f>
        <v>00566990</v>
      </c>
    </row>
    <row r="7412" spans="1:2" x14ac:dyDescent="0.25">
      <c r="A7412" s="4">
        <v>7407</v>
      </c>
      <c r="B7412" s="3" t="str">
        <f>"00566992"</f>
        <v>00566992</v>
      </c>
    </row>
    <row r="7413" spans="1:2" x14ac:dyDescent="0.25">
      <c r="A7413" s="4">
        <v>7408</v>
      </c>
      <c r="B7413" s="3" t="str">
        <f>"00566993"</f>
        <v>00566993</v>
      </c>
    </row>
    <row r="7414" spans="1:2" x14ac:dyDescent="0.25">
      <c r="A7414" s="4">
        <v>7409</v>
      </c>
      <c r="B7414" s="3" t="str">
        <f>"00567031"</f>
        <v>00567031</v>
      </c>
    </row>
    <row r="7415" spans="1:2" x14ac:dyDescent="0.25">
      <c r="A7415" s="4">
        <v>7410</v>
      </c>
      <c r="B7415" s="3" t="str">
        <f>"00567087"</f>
        <v>00567087</v>
      </c>
    </row>
    <row r="7416" spans="1:2" x14ac:dyDescent="0.25">
      <c r="A7416" s="4">
        <v>7411</v>
      </c>
      <c r="B7416" s="3" t="str">
        <f>"00567128"</f>
        <v>00567128</v>
      </c>
    </row>
    <row r="7417" spans="1:2" x14ac:dyDescent="0.25">
      <c r="A7417" s="4">
        <v>7412</v>
      </c>
      <c r="B7417" s="3" t="str">
        <f>"00567147"</f>
        <v>00567147</v>
      </c>
    </row>
    <row r="7418" spans="1:2" x14ac:dyDescent="0.25">
      <c r="A7418" s="4">
        <v>7413</v>
      </c>
      <c r="B7418" s="3" t="str">
        <f>"00567193"</f>
        <v>00567193</v>
      </c>
    </row>
    <row r="7419" spans="1:2" x14ac:dyDescent="0.25">
      <c r="A7419" s="4">
        <v>7414</v>
      </c>
      <c r="B7419" s="3" t="str">
        <f>"00567293"</f>
        <v>00567293</v>
      </c>
    </row>
    <row r="7420" spans="1:2" x14ac:dyDescent="0.25">
      <c r="A7420" s="4">
        <v>7415</v>
      </c>
      <c r="B7420" s="3" t="str">
        <f>"00567329"</f>
        <v>00567329</v>
      </c>
    </row>
    <row r="7421" spans="1:2" x14ac:dyDescent="0.25">
      <c r="A7421" s="4">
        <v>7416</v>
      </c>
      <c r="B7421" s="3" t="str">
        <f>"00567403"</f>
        <v>00567403</v>
      </c>
    </row>
    <row r="7422" spans="1:2" x14ac:dyDescent="0.25">
      <c r="A7422" s="4">
        <v>7417</v>
      </c>
      <c r="B7422" s="3" t="str">
        <f>"00567425"</f>
        <v>00567425</v>
      </c>
    </row>
    <row r="7423" spans="1:2" x14ac:dyDescent="0.25">
      <c r="A7423" s="4">
        <v>7418</v>
      </c>
      <c r="B7423" s="3" t="str">
        <f>"00567442"</f>
        <v>00567442</v>
      </c>
    </row>
    <row r="7424" spans="1:2" x14ac:dyDescent="0.25">
      <c r="A7424" s="4">
        <v>7419</v>
      </c>
      <c r="B7424" s="3" t="str">
        <f>"00567454"</f>
        <v>00567454</v>
      </c>
    </row>
    <row r="7425" spans="1:2" x14ac:dyDescent="0.25">
      <c r="A7425" s="4">
        <v>7420</v>
      </c>
      <c r="B7425" s="3" t="str">
        <f>"00567593"</f>
        <v>00567593</v>
      </c>
    </row>
    <row r="7426" spans="1:2" x14ac:dyDescent="0.25">
      <c r="A7426" s="4">
        <v>7421</v>
      </c>
      <c r="B7426" s="3" t="str">
        <f>"00567864"</f>
        <v>00567864</v>
      </c>
    </row>
    <row r="7427" spans="1:2" x14ac:dyDescent="0.25">
      <c r="A7427" s="4">
        <v>7422</v>
      </c>
      <c r="B7427" s="3" t="str">
        <f>"00567956"</f>
        <v>00567956</v>
      </c>
    </row>
    <row r="7428" spans="1:2" x14ac:dyDescent="0.25">
      <c r="A7428" s="4">
        <v>7423</v>
      </c>
      <c r="B7428" s="3" t="str">
        <f>"00568037"</f>
        <v>00568037</v>
      </c>
    </row>
    <row r="7429" spans="1:2" x14ac:dyDescent="0.25">
      <c r="A7429" s="4">
        <v>7424</v>
      </c>
      <c r="B7429" s="3" t="str">
        <f>"00568061"</f>
        <v>00568061</v>
      </c>
    </row>
    <row r="7430" spans="1:2" x14ac:dyDescent="0.25">
      <c r="A7430" s="4">
        <v>7425</v>
      </c>
      <c r="B7430" s="3" t="str">
        <f>"00568659"</f>
        <v>00568659</v>
      </c>
    </row>
    <row r="7431" spans="1:2" x14ac:dyDescent="0.25">
      <c r="A7431" s="4">
        <v>7426</v>
      </c>
      <c r="B7431" s="3" t="str">
        <f>"00568660"</f>
        <v>00568660</v>
      </c>
    </row>
    <row r="7432" spans="1:2" x14ac:dyDescent="0.25">
      <c r="A7432" s="4">
        <v>7427</v>
      </c>
      <c r="B7432" s="3" t="str">
        <f>"00568662"</f>
        <v>00568662</v>
      </c>
    </row>
    <row r="7433" spans="1:2" x14ac:dyDescent="0.25">
      <c r="A7433" s="4">
        <v>7428</v>
      </c>
      <c r="B7433" s="3" t="str">
        <f>"00568664"</f>
        <v>00568664</v>
      </c>
    </row>
    <row r="7434" spans="1:2" x14ac:dyDescent="0.25">
      <c r="A7434" s="4">
        <v>7429</v>
      </c>
      <c r="B7434" s="3" t="str">
        <f>"00568667"</f>
        <v>00568667</v>
      </c>
    </row>
    <row r="7435" spans="1:2" x14ac:dyDescent="0.25">
      <c r="A7435" s="4">
        <v>7430</v>
      </c>
      <c r="B7435" s="3" t="str">
        <f>"00568669"</f>
        <v>00568669</v>
      </c>
    </row>
    <row r="7436" spans="1:2" x14ac:dyDescent="0.25">
      <c r="A7436" s="4">
        <v>7431</v>
      </c>
      <c r="B7436" s="3" t="str">
        <f>"00568723"</f>
        <v>00568723</v>
      </c>
    </row>
    <row r="7437" spans="1:2" x14ac:dyDescent="0.25">
      <c r="A7437" s="4">
        <v>7432</v>
      </c>
      <c r="B7437" s="3" t="str">
        <f>"00568851"</f>
        <v>00568851</v>
      </c>
    </row>
    <row r="7438" spans="1:2" x14ac:dyDescent="0.25">
      <c r="A7438" s="4">
        <v>7433</v>
      </c>
      <c r="B7438" s="3" t="str">
        <f>"00568862"</f>
        <v>00568862</v>
      </c>
    </row>
    <row r="7439" spans="1:2" x14ac:dyDescent="0.25">
      <c r="A7439" s="4">
        <v>7434</v>
      </c>
      <c r="B7439" s="3" t="str">
        <f>"00568871"</f>
        <v>00568871</v>
      </c>
    </row>
    <row r="7440" spans="1:2" x14ac:dyDescent="0.25">
      <c r="A7440" s="4">
        <v>7435</v>
      </c>
      <c r="B7440" s="3" t="str">
        <f>"00568900"</f>
        <v>00568900</v>
      </c>
    </row>
    <row r="7441" spans="1:2" x14ac:dyDescent="0.25">
      <c r="A7441" s="4">
        <v>7436</v>
      </c>
      <c r="B7441" s="3" t="str">
        <f>"00568942"</f>
        <v>00568942</v>
      </c>
    </row>
    <row r="7442" spans="1:2" x14ac:dyDescent="0.25">
      <c r="A7442" s="4">
        <v>7437</v>
      </c>
      <c r="B7442" s="3" t="str">
        <f>"00568953"</f>
        <v>00568953</v>
      </c>
    </row>
    <row r="7443" spans="1:2" x14ac:dyDescent="0.25">
      <c r="A7443" s="4">
        <v>7438</v>
      </c>
      <c r="B7443" s="3" t="str">
        <f>"00568958"</f>
        <v>00568958</v>
      </c>
    </row>
    <row r="7444" spans="1:2" x14ac:dyDescent="0.25">
      <c r="A7444" s="4">
        <v>7439</v>
      </c>
      <c r="B7444" s="3" t="str">
        <f>"00568998"</f>
        <v>00568998</v>
      </c>
    </row>
    <row r="7445" spans="1:2" x14ac:dyDescent="0.25">
      <c r="A7445" s="4">
        <v>7440</v>
      </c>
      <c r="B7445" s="3" t="str">
        <f>"00569332"</f>
        <v>00569332</v>
      </c>
    </row>
    <row r="7446" spans="1:2" x14ac:dyDescent="0.25">
      <c r="A7446" s="4">
        <v>7441</v>
      </c>
      <c r="B7446" s="3" t="str">
        <f>"00570009"</f>
        <v>00570009</v>
      </c>
    </row>
    <row r="7447" spans="1:2" x14ac:dyDescent="0.25">
      <c r="A7447" s="4">
        <v>7442</v>
      </c>
      <c r="B7447" s="3" t="str">
        <f>"00570146"</f>
        <v>00570146</v>
      </c>
    </row>
    <row r="7448" spans="1:2" x14ac:dyDescent="0.25">
      <c r="A7448" s="4">
        <v>7443</v>
      </c>
      <c r="B7448" s="3" t="str">
        <f>"00570165"</f>
        <v>00570165</v>
      </c>
    </row>
    <row r="7449" spans="1:2" x14ac:dyDescent="0.25">
      <c r="A7449" s="4">
        <v>7444</v>
      </c>
      <c r="B7449" s="3" t="str">
        <f>"00570202"</f>
        <v>00570202</v>
      </c>
    </row>
    <row r="7450" spans="1:2" x14ac:dyDescent="0.25">
      <c r="A7450" s="4">
        <v>7445</v>
      </c>
      <c r="B7450" s="3" t="str">
        <f>"00570326"</f>
        <v>00570326</v>
      </c>
    </row>
    <row r="7451" spans="1:2" x14ac:dyDescent="0.25">
      <c r="A7451" s="4">
        <v>7446</v>
      </c>
      <c r="B7451" s="3" t="str">
        <f>"00570759"</f>
        <v>00570759</v>
      </c>
    </row>
    <row r="7452" spans="1:2" x14ac:dyDescent="0.25">
      <c r="A7452" s="4">
        <v>7447</v>
      </c>
      <c r="B7452" s="3" t="str">
        <f>"00570884"</f>
        <v>00570884</v>
      </c>
    </row>
    <row r="7453" spans="1:2" x14ac:dyDescent="0.25">
      <c r="A7453" s="4">
        <v>7448</v>
      </c>
      <c r="B7453" s="3" t="str">
        <f>"00570966"</f>
        <v>00570966</v>
      </c>
    </row>
    <row r="7454" spans="1:2" x14ac:dyDescent="0.25">
      <c r="A7454" s="4">
        <v>7449</v>
      </c>
      <c r="B7454" s="3" t="str">
        <f>"00570986"</f>
        <v>00570986</v>
      </c>
    </row>
    <row r="7455" spans="1:2" x14ac:dyDescent="0.25">
      <c r="A7455" s="4">
        <v>7450</v>
      </c>
      <c r="B7455" s="3" t="str">
        <f>"00571008"</f>
        <v>00571008</v>
      </c>
    </row>
    <row r="7456" spans="1:2" x14ac:dyDescent="0.25">
      <c r="A7456" s="4">
        <v>7451</v>
      </c>
      <c r="B7456" s="3" t="str">
        <f>"00571170"</f>
        <v>00571170</v>
      </c>
    </row>
    <row r="7457" spans="1:2" x14ac:dyDescent="0.25">
      <c r="A7457" s="4">
        <v>7452</v>
      </c>
      <c r="B7457" s="3" t="str">
        <f>"00571288"</f>
        <v>00571288</v>
      </c>
    </row>
    <row r="7458" spans="1:2" x14ac:dyDescent="0.25">
      <c r="A7458" s="4">
        <v>7453</v>
      </c>
      <c r="B7458" s="3" t="str">
        <f>"00571556"</f>
        <v>00571556</v>
      </c>
    </row>
    <row r="7459" spans="1:2" x14ac:dyDescent="0.25">
      <c r="A7459" s="4">
        <v>7454</v>
      </c>
      <c r="B7459" s="3" t="str">
        <f>"00571719"</f>
        <v>00571719</v>
      </c>
    </row>
    <row r="7460" spans="1:2" x14ac:dyDescent="0.25">
      <c r="A7460" s="4">
        <v>7455</v>
      </c>
      <c r="B7460" s="3" t="str">
        <f>"00571889"</f>
        <v>00571889</v>
      </c>
    </row>
    <row r="7461" spans="1:2" x14ac:dyDescent="0.25">
      <c r="A7461" s="4">
        <v>7456</v>
      </c>
      <c r="B7461" s="3" t="str">
        <f>"00571916"</f>
        <v>00571916</v>
      </c>
    </row>
    <row r="7462" spans="1:2" x14ac:dyDescent="0.25">
      <c r="A7462" s="4">
        <v>7457</v>
      </c>
      <c r="B7462" s="3" t="str">
        <f>"00571961"</f>
        <v>00571961</v>
      </c>
    </row>
    <row r="7463" spans="1:2" x14ac:dyDescent="0.25">
      <c r="A7463" s="4">
        <v>7458</v>
      </c>
      <c r="B7463" s="3" t="str">
        <f>"00571972"</f>
        <v>00571972</v>
      </c>
    </row>
    <row r="7464" spans="1:2" x14ac:dyDescent="0.25">
      <c r="A7464" s="4">
        <v>7459</v>
      </c>
      <c r="B7464" s="3" t="str">
        <f>"00571980"</f>
        <v>00571980</v>
      </c>
    </row>
    <row r="7465" spans="1:2" x14ac:dyDescent="0.25">
      <c r="A7465" s="4">
        <v>7460</v>
      </c>
      <c r="B7465" s="3" t="str">
        <f>"00571990"</f>
        <v>00571990</v>
      </c>
    </row>
    <row r="7466" spans="1:2" x14ac:dyDescent="0.25">
      <c r="A7466" s="4">
        <v>7461</v>
      </c>
      <c r="B7466" s="3" t="str">
        <f>"00572046"</f>
        <v>00572046</v>
      </c>
    </row>
    <row r="7467" spans="1:2" x14ac:dyDescent="0.25">
      <c r="A7467" s="4">
        <v>7462</v>
      </c>
      <c r="B7467" s="3" t="str">
        <f>"00572062"</f>
        <v>00572062</v>
      </c>
    </row>
    <row r="7468" spans="1:2" x14ac:dyDescent="0.25">
      <c r="A7468" s="4">
        <v>7463</v>
      </c>
      <c r="B7468" s="3" t="str">
        <f>"00572092"</f>
        <v>00572092</v>
      </c>
    </row>
    <row r="7469" spans="1:2" x14ac:dyDescent="0.25">
      <c r="A7469" s="4">
        <v>7464</v>
      </c>
      <c r="B7469" s="3" t="str">
        <f>"00572100"</f>
        <v>00572100</v>
      </c>
    </row>
    <row r="7470" spans="1:2" x14ac:dyDescent="0.25">
      <c r="A7470" s="4">
        <v>7465</v>
      </c>
      <c r="B7470" s="3" t="str">
        <f>"00572124"</f>
        <v>00572124</v>
      </c>
    </row>
    <row r="7471" spans="1:2" x14ac:dyDescent="0.25">
      <c r="A7471" s="4">
        <v>7466</v>
      </c>
      <c r="B7471" s="3" t="str">
        <f>"00572365"</f>
        <v>00572365</v>
      </c>
    </row>
    <row r="7472" spans="1:2" x14ac:dyDescent="0.25">
      <c r="A7472" s="4">
        <v>7467</v>
      </c>
      <c r="B7472" s="3" t="str">
        <f>"00572375"</f>
        <v>00572375</v>
      </c>
    </row>
    <row r="7473" spans="1:2" x14ac:dyDescent="0.25">
      <c r="A7473" s="4">
        <v>7468</v>
      </c>
      <c r="B7473" s="3" t="str">
        <f>"00572379"</f>
        <v>00572379</v>
      </c>
    </row>
    <row r="7474" spans="1:2" x14ac:dyDescent="0.25">
      <c r="A7474" s="4">
        <v>7469</v>
      </c>
      <c r="B7474" s="3" t="str">
        <f>"00572393"</f>
        <v>00572393</v>
      </c>
    </row>
    <row r="7475" spans="1:2" x14ac:dyDescent="0.25">
      <c r="A7475" s="4">
        <v>7470</v>
      </c>
      <c r="B7475" s="3" t="str">
        <f>"00572478"</f>
        <v>00572478</v>
      </c>
    </row>
    <row r="7476" spans="1:2" x14ac:dyDescent="0.25">
      <c r="A7476" s="4">
        <v>7471</v>
      </c>
      <c r="B7476" s="3" t="str">
        <f>"00572487"</f>
        <v>00572487</v>
      </c>
    </row>
    <row r="7477" spans="1:2" x14ac:dyDescent="0.25">
      <c r="A7477" s="4">
        <v>7472</v>
      </c>
      <c r="B7477" s="3" t="str">
        <f>"00572590"</f>
        <v>00572590</v>
      </c>
    </row>
    <row r="7478" spans="1:2" x14ac:dyDescent="0.25">
      <c r="A7478" s="4">
        <v>7473</v>
      </c>
      <c r="B7478" s="3" t="str">
        <f>"00572670"</f>
        <v>00572670</v>
      </c>
    </row>
    <row r="7479" spans="1:2" x14ac:dyDescent="0.25">
      <c r="A7479" s="4">
        <v>7474</v>
      </c>
      <c r="B7479" s="3" t="str">
        <f>"00572740"</f>
        <v>00572740</v>
      </c>
    </row>
    <row r="7480" spans="1:2" x14ac:dyDescent="0.25">
      <c r="A7480" s="4">
        <v>7475</v>
      </c>
      <c r="B7480" s="3" t="str">
        <f>"00572741"</f>
        <v>00572741</v>
      </c>
    </row>
    <row r="7481" spans="1:2" x14ac:dyDescent="0.25">
      <c r="A7481" s="4">
        <v>7476</v>
      </c>
      <c r="B7481" s="3" t="str">
        <f>"00572749"</f>
        <v>00572749</v>
      </c>
    </row>
    <row r="7482" spans="1:2" x14ac:dyDescent="0.25">
      <c r="A7482" s="4">
        <v>7477</v>
      </c>
      <c r="B7482" s="3" t="str">
        <f>"00572771"</f>
        <v>00572771</v>
      </c>
    </row>
    <row r="7483" spans="1:2" x14ac:dyDescent="0.25">
      <c r="A7483" s="4">
        <v>7478</v>
      </c>
      <c r="B7483" s="3" t="str">
        <f>"00573311"</f>
        <v>00573311</v>
      </c>
    </row>
    <row r="7484" spans="1:2" x14ac:dyDescent="0.25">
      <c r="A7484" s="4">
        <v>7479</v>
      </c>
      <c r="B7484" s="3" t="str">
        <f>"00574147"</f>
        <v>00574147</v>
      </c>
    </row>
    <row r="7485" spans="1:2" x14ac:dyDescent="0.25">
      <c r="A7485" s="4">
        <v>7480</v>
      </c>
      <c r="B7485" s="3" t="str">
        <f>"00574533"</f>
        <v>00574533</v>
      </c>
    </row>
    <row r="7486" spans="1:2" x14ac:dyDescent="0.25">
      <c r="A7486" s="4">
        <v>7481</v>
      </c>
      <c r="B7486" s="3" t="str">
        <f>"00574600"</f>
        <v>00574600</v>
      </c>
    </row>
    <row r="7487" spans="1:2" x14ac:dyDescent="0.25">
      <c r="A7487" s="4">
        <v>7482</v>
      </c>
      <c r="B7487" s="3" t="str">
        <f>"00574804"</f>
        <v>00574804</v>
      </c>
    </row>
    <row r="7488" spans="1:2" x14ac:dyDescent="0.25">
      <c r="A7488" s="4">
        <v>7483</v>
      </c>
      <c r="B7488" s="3" t="str">
        <f>"00575113"</f>
        <v>00575113</v>
      </c>
    </row>
    <row r="7489" spans="1:2" x14ac:dyDescent="0.25">
      <c r="A7489" s="4">
        <v>7484</v>
      </c>
      <c r="B7489" s="3" t="str">
        <f>"00575317"</f>
        <v>00575317</v>
      </c>
    </row>
    <row r="7490" spans="1:2" x14ac:dyDescent="0.25">
      <c r="A7490" s="4">
        <v>7485</v>
      </c>
      <c r="B7490" s="3" t="str">
        <f>"00575404"</f>
        <v>00575404</v>
      </c>
    </row>
    <row r="7491" spans="1:2" x14ac:dyDescent="0.25">
      <c r="A7491" s="4">
        <v>7486</v>
      </c>
      <c r="B7491" s="3" t="str">
        <f>"00575436"</f>
        <v>00575436</v>
      </c>
    </row>
    <row r="7492" spans="1:2" x14ac:dyDescent="0.25">
      <c r="A7492" s="4">
        <v>7487</v>
      </c>
      <c r="B7492" s="3" t="str">
        <f>"00576046"</f>
        <v>00576046</v>
      </c>
    </row>
    <row r="7493" spans="1:2" x14ac:dyDescent="0.25">
      <c r="A7493" s="4">
        <v>7488</v>
      </c>
      <c r="B7493" s="3" t="str">
        <f>"00576222"</f>
        <v>00576222</v>
      </c>
    </row>
    <row r="7494" spans="1:2" x14ac:dyDescent="0.25">
      <c r="A7494" s="4">
        <v>7489</v>
      </c>
      <c r="B7494" s="3" t="str">
        <f>"00576225"</f>
        <v>00576225</v>
      </c>
    </row>
    <row r="7495" spans="1:2" x14ac:dyDescent="0.25">
      <c r="A7495" s="4">
        <v>7490</v>
      </c>
      <c r="B7495" s="3" t="str">
        <f>"00576227"</f>
        <v>00576227</v>
      </c>
    </row>
    <row r="7496" spans="1:2" x14ac:dyDescent="0.25">
      <c r="A7496" s="4">
        <v>7491</v>
      </c>
      <c r="B7496" s="3" t="str">
        <f>"00576228"</f>
        <v>00576228</v>
      </c>
    </row>
    <row r="7497" spans="1:2" x14ac:dyDescent="0.25">
      <c r="A7497" s="4">
        <v>7492</v>
      </c>
      <c r="B7497" s="3" t="str">
        <f>"00576230"</f>
        <v>00576230</v>
      </c>
    </row>
    <row r="7498" spans="1:2" x14ac:dyDescent="0.25">
      <c r="A7498" s="4">
        <v>7493</v>
      </c>
      <c r="B7498" s="3" t="str">
        <f>"00576231"</f>
        <v>00576231</v>
      </c>
    </row>
    <row r="7499" spans="1:2" x14ac:dyDescent="0.25">
      <c r="A7499" s="4">
        <v>7494</v>
      </c>
      <c r="B7499" s="3" t="str">
        <f>"00576232"</f>
        <v>00576232</v>
      </c>
    </row>
    <row r="7500" spans="1:2" x14ac:dyDescent="0.25">
      <c r="A7500" s="4">
        <v>7495</v>
      </c>
      <c r="B7500" s="3" t="str">
        <f>"00576233"</f>
        <v>00576233</v>
      </c>
    </row>
    <row r="7501" spans="1:2" x14ac:dyDescent="0.25">
      <c r="A7501" s="4">
        <v>7496</v>
      </c>
      <c r="B7501" s="3" t="str">
        <f>"00576295"</f>
        <v>00576295</v>
      </c>
    </row>
    <row r="7502" spans="1:2" x14ac:dyDescent="0.25">
      <c r="A7502" s="4">
        <v>7497</v>
      </c>
      <c r="B7502" s="3" t="str">
        <f>"00576372"</f>
        <v>00576372</v>
      </c>
    </row>
    <row r="7503" spans="1:2" x14ac:dyDescent="0.25">
      <c r="A7503" s="4">
        <v>7498</v>
      </c>
      <c r="B7503" s="3" t="str">
        <f>"00576634"</f>
        <v>00576634</v>
      </c>
    </row>
    <row r="7504" spans="1:2" x14ac:dyDescent="0.25">
      <c r="A7504" s="4">
        <v>7499</v>
      </c>
      <c r="B7504" s="3" t="str">
        <f>"00576741"</f>
        <v>00576741</v>
      </c>
    </row>
    <row r="7505" spans="1:2" x14ac:dyDescent="0.25">
      <c r="A7505" s="4">
        <v>7500</v>
      </c>
      <c r="B7505" s="3" t="str">
        <f>"00576776"</f>
        <v>00576776</v>
      </c>
    </row>
    <row r="7506" spans="1:2" x14ac:dyDescent="0.25">
      <c r="A7506" s="4">
        <v>7501</v>
      </c>
      <c r="B7506" s="3" t="str">
        <f>"00576832"</f>
        <v>00576832</v>
      </c>
    </row>
    <row r="7507" spans="1:2" x14ac:dyDescent="0.25">
      <c r="A7507" s="4">
        <v>7502</v>
      </c>
      <c r="B7507" s="3" t="str">
        <f>"00577336"</f>
        <v>00577336</v>
      </c>
    </row>
    <row r="7508" spans="1:2" x14ac:dyDescent="0.25">
      <c r="A7508" s="4">
        <v>7503</v>
      </c>
      <c r="B7508" s="3" t="str">
        <f>"00577411"</f>
        <v>00577411</v>
      </c>
    </row>
    <row r="7509" spans="1:2" x14ac:dyDescent="0.25">
      <c r="A7509" s="4">
        <v>7504</v>
      </c>
      <c r="B7509" s="3" t="str">
        <f>"00577757"</f>
        <v>00577757</v>
      </c>
    </row>
    <row r="7510" spans="1:2" x14ac:dyDescent="0.25">
      <c r="A7510" s="4">
        <v>7505</v>
      </c>
      <c r="B7510" s="3" t="str">
        <f>"00577895"</f>
        <v>00577895</v>
      </c>
    </row>
    <row r="7511" spans="1:2" x14ac:dyDescent="0.25">
      <c r="A7511" s="4">
        <v>7506</v>
      </c>
      <c r="B7511" s="3" t="str">
        <f>"00578110"</f>
        <v>00578110</v>
      </c>
    </row>
    <row r="7512" spans="1:2" x14ac:dyDescent="0.25">
      <c r="A7512" s="4">
        <v>7507</v>
      </c>
      <c r="B7512" s="3" t="str">
        <f>"00578112"</f>
        <v>00578112</v>
      </c>
    </row>
    <row r="7513" spans="1:2" x14ac:dyDescent="0.25">
      <c r="A7513" s="4">
        <v>7508</v>
      </c>
      <c r="B7513" s="3" t="str">
        <f>"00578248"</f>
        <v>00578248</v>
      </c>
    </row>
    <row r="7514" spans="1:2" x14ac:dyDescent="0.25">
      <c r="A7514" s="4">
        <v>7509</v>
      </c>
      <c r="B7514" s="3" t="str">
        <f>"00578253"</f>
        <v>00578253</v>
      </c>
    </row>
    <row r="7515" spans="1:2" x14ac:dyDescent="0.25">
      <c r="A7515" s="4">
        <v>7510</v>
      </c>
      <c r="B7515" s="3" t="str">
        <f>"00578909"</f>
        <v>00578909</v>
      </c>
    </row>
    <row r="7516" spans="1:2" x14ac:dyDescent="0.25">
      <c r="A7516" s="4">
        <v>7511</v>
      </c>
      <c r="B7516" s="3" t="str">
        <f>"00578952"</f>
        <v>00578952</v>
      </c>
    </row>
    <row r="7517" spans="1:2" x14ac:dyDescent="0.25">
      <c r="A7517" s="4">
        <v>7512</v>
      </c>
      <c r="B7517" s="3" t="str">
        <f>"00578956"</f>
        <v>00578956</v>
      </c>
    </row>
    <row r="7518" spans="1:2" x14ac:dyDescent="0.25">
      <c r="A7518" s="4">
        <v>7513</v>
      </c>
      <c r="B7518" s="3" t="str">
        <f>"00578977"</f>
        <v>00578977</v>
      </c>
    </row>
    <row r="7519" spans="1:2" x14ac:dyDescent="0.25">
      <c r="A7519" s="4">
        <v>7514</v>
      </c>
      <c r="B7519" s="3" t="str">
        <f>"00579163"</f>
        <v>00579163</v>
      </c>
    </row>
    <row r="7520" spans="1:2" x14ac:dyDescent="0.25">
      <c r="A7520" s="4">
        <v>7515</v>
      </c>
      <c r="B7520" s="3" t="str">
        <f>"00579261"</f>
        <v>00579261</v>
      </c>
    </row>
    <row r="7521" spans="1:2" x14ac:dyDescent="0.25">
      <c r="A7521" s="4">
        <v>7516</v>
      </c>
      <c r="B7521" s="3" t="str">
        <f>"00579297"</f>
        <v>00579297</v>
      </c>
    </row>
    <row r="7522" spans="1:2" x14ac:dyDescent="0.25">
      <c r="A7522" s="4">
        <v>7517</v>
      </c>
      <c r="B7522" s="3" t="str">
        <f>"00579397"</f>
        <v>00579397</v>
      </c>
    </row>
    <row r="7523" spans="1:2" x14ac:dyDescent="0.25">
      <c r="A7523" s="4">
        <v>7518</v>
      </c>
      <c r="B7523" s="3" t="str">
        <f>"00579438"</f>
        <v>00579438</v>
      </c>
    </row>
    <row r="7524" spans="1:2" x14ac:dyDescent="0.25">
      <c r="A7524" s="4">
        <v>7519</v>
      </c>
      <c r="B7524" s="3" t="str">
        <f>"00579759"</f>
        <v>00579759</v>
      </c>
    </row>
    <row r="7525" spans="1:2" x14ac:dyDescent="0.25">
      <c r="A7525" s="4">
        <v>7520</v>
      </c>
      <c r="B7525" s="3" t="str">
        <f>"00579788"</f>
        <v>00579788</v>
      </c>
    </row>
    <row r="7526" spans="1:2" x14ac:dyDescent="0.25">
      <c r="A7526" s="4">
        <v>7521</v>
      </c>
      <c r="B7526" s="3" t="str">
        <f>"00579791"</f>
        <v>00579791</v>
      </c>
    </row>
    <row r="7527" spans="1:2" x14ac:dyDescent="0.25">
      <c r="A7527" s="4">
        <v>7522</v>
      </c>
      <c r="B7527" s="3" t="str">
        <f>"00579793"</f>
        <v>00579793</v>
      </c>
    </row>
    <row r="7528" spans="1:2" x14ac:dyDescent="0.25">
      <c r="A7528" s="4">
        <v>7523</v>
      </c>
      <c r="B7528" s="3" t="str">
        <f>"00579797"</f>
        <v>00579797</v>
      </c>
    </row>
    <row r="7529" spans="1:2" x14ac:dyDescent="0.25">
      <c r="A7529" s="4">
        <v>7524</v>
      </c>
      <c r="B7529" s="3" t="str">
        <f>"00579800"</f>
        <v>00579800</v>
      </c>
    </row>
    <row r="7530" spans="1:2" x14ac:dyDescent="0.25">
      <c r="A7530" s="4">
        <v>7525</v>
      </c>
      <c r="B7530" s="3" t="str">
        <f>"00579808"</f>
        <v>00579808</v>
      </c>
    </row>
    <row r="7531" spans="1:2" x14ac:dyDescent="0.25">
      <c r="A7531" s="4">
        <v>7526</v>
      </c>
      <c r="B7531" s="3" t="str">
        <f>"00579843"</f>
        <v>00579843</v>
      </c>
    </row>
    <row r="7532" spans="1:2" x14ac:dyDescent="0.25">
      <c r="A7532" s="4">
        <v>7527</v>
      </c>
      <c r="B7532" s="3" t="str">
        <f>"00579990"</f>
        <v>00579990</v>
      </c>
    </row>
    <row r="7533" spans="1:2" x14ac:dyDescent="0.25">
      <c r="A7533" s="4">
        <v>7528</v>
      </c>
      <c r="B7533" s="3" t="str">
        <f>"00579998"</f>
        <v>00579998</v>
      </c>
    </row>
    <row r="7534" spans="1:2" x14ac:dyDescent="0.25">
      <c r="A7534" s="4">
        <v>7529</v>
      </c>
      <c r="B7534" s="3" t="str">
        <f>"00580064"</f>
        <v>00580064</v>
      </c>
    </row>
    <row r="7535" spans="1:2" x14ac:dyDescent="0.25">
      <c r="A7535" s="4">
        <v>7530</v>
      </c>
      <c r="B7535" s="3" t="str">
        <f>"00580180"</f>
        <v>00580180</v>
      </c>
    </row>
    <row r="7536" spans="1:2" x14ac:dyDescent="0.25">
      <c r="A7536" s="4">
        <v>7531</v>
      </c>
      <c r="B7536" s="3" t="str">
        <f>"00580189"</f>
        <v>00580189</v>
      </c>
    </row>
    <row r="7537" spans="1:2" x14ac:dyDescent="0.25">
      <c r="A7537" s="4">
        <v>7532</v>
      </c>
      <c r="B7537" s="3" t="str">
        <f>"00580239"</f>
        <v>00580239</v>
      </c>
    </row>
    <row r="7538" spans="1:2" x14ac:dyDescent="0.25">
      <c r="A7538" s="4">
        <v>7533</v>
      </c>
      <c r="B7538" s="3" t="str">
        <f>"00580304"</f>
        <v>00580304</v>
      </c>
    </row>
    <row r="7539" spans="1:2" x14ac:dyDescent="0.25">
      <c r="A7539" s="4">
        <v>7534</v>
      </c>
      <c r="B7539" s="3" t="str">
        <f>"00580315"</f>
        <v>00580315</v>
      </c>
    </row>
    <row r="7540" spans="1:2" x14ac:dyDescent="0.25">
      <c r="A7540" s="4">
        <v>7535</v>
      </c>
      <c r="B7540" s="3" t="str">
        <f>"00580526"</f>
        <v>00580526</v>
      </c>
    </row>
    <row r="7541" spans="1:2" x14ac:dyDescent="0.25">
      <c r="A7541" s="4">
        <v>7536</v>
      </c>
      <c r="B7541" s="3" t="str">
        <f>"00580559"</f>
        <v>00580559</v>
      </c>
    </row>
    <row r="7542" spans="1:2" x14ac:dyDescent="0.25">
      <c r="A7542" s="4">
        <v>7537</v>
      </c>
      <c r="B7542" s="3" t="str">
        <f>"00580649"</f>
        <v>00580649</v>
      </c>
    </row>
    <row r="7543" spans="1:2" x14ac:dyDescent="0.25">
      <c r="A7543" s="4">
        <v>7538</v>
      </c>
      <c r="B7543" s="3" t="str">
        <f>"00580874"</f>
        <v>00580874</v>
      </c>
    </row>
    <row r="7544" spans="1:2" x14ac:dyDescent="0.25">
      <c r="A7544" s="4">
        <v>7539</v>
      </c>
      <c r="B7544" s="3" t="str">
        <f>"00581127"</f>
        <v>00581127</v>
      </c>
    </row>
    <row r="7545" spans="1:2" x14ac:dyDescent="0.25">
      <c r="A7545" s="4">
        <v>7540</v>
      </c>
      <c r="B7545" s="3" t="str">
        <f>"00581292"</f>
        <v>00581292</v>
      </c>
    </row>
    <row r="7546" spans="1:2" x14ac:dyDescent="0.25">
      <c r="A7546" s="4">
        <v>7541</v>
      </c>
      <c r="B7546" s="3" t="str">
        <f>"00581296"</f>
        <v>00581296</v>
      </c>
    </row>
    <row r="7547" spans="1:2" x14ac:dyDescent="0.25">
      <c r="A7547" s="4">
        <v>7542</v>
      </c>
      <c r="B7547" s="3" t="str">
        <f>"00581298"</f>
        <v>00581298</v>
      </c>
    </row>
    <row r="7548" spans="1:2" x14ac:dyDescent="0.25">
      <c r="A7548" s="4">
        <v>7543</v>
      </c>
      <c r="B7548" s="3" t="str">
        <f>"00581300"</f>
        <v>00581300</v>
      </c>
    </row>
    <row r="7549" spans="1:2" x14ac:dyDescent="0.25">
      <c r="A7549" s="4">
        <v>7544</v>
      </c>
      <c r="B7549" s="3" t="str">
        <f>"00581301"</f>
        <v>00581301</v>
      </c>
    </row>
    <row r="7550" spans="1:2" x14ac:dyDescent="0.25">
      <c r="A7550" s="4">
        <v>7545</v>
      </c>
      <c r="B7550" s="3" t="str">
        <f>"00581302"</f>
        <v>00581302</v>
      </c>
    </row>
    <row r="7551" spans="1:2" x14ac:dyDescent="0.25">
      <c r="A7551" s="4">
        <v>7546</v>
      </c>
      <c r="B7551" s="3" t="str">
        <f>"00581310"</f>
        <v>00581310</v>
      </c>
    </row>
    <row r="7552" spans="1:2" x14ac:dyDescent="0.25">
      <c r="A7552" s="4">
        <v>7547</v>
      </c>
      <c r="B7552" s="3" t="str">
        <f>"00581317"</f>
        <v>00581317</v>
      </c>
    </row>
    <row r="7553" spans="1:2" x14ac:dyDescent="0.25">
      <c r="A7553" s="4">
        <v>7548</v>
      </c>
      <c r="B7553" s="3" t="str">
        <f>"00581341"</f>
        <v>00581341</v>
      </c>
    </row>
    <row r="7554" spans="1:2" x14ac:dyDescent="0.25">
      <c r="A7554" s="4">
        <v>7549</v>
      </c>
      <c r="B7554" s="3" t="str">
        <f>"00581434"</f>
        <v>00581434</v>
      </c>
    </row>
    <row r="7555" spans="1:2" x14ac:dyDescent="0.25">
      <c r="A7555" s="4">
        <v>7550</v>
      </c>
      <c r="B7555" s="3" t="str">
        <f>"00581441"</f>
        <v>00581441</v>
      </c>
    </row>
    <row r="7556" spans="1:2" x14ac:dyDescent="0.25">
      <c r="A7556" s="4">
        <v>7551</v>
      </c>
      <c r="B7556" s="3" t="str">
        <f>"00581505"</f>
        <v>00581505</v>
      </c>
    </row>
    <row r="7557" spans="1:2" x14ac:dyDescent="0.25">
      <c r="A7557" s="4">
        <v>7552</v>
      </c>
      <c r="B7557" s="3" t="str">
        <f>"00581550"</f>
        <v>00581550</v>
      </c>
    </row>
    <row r="7558" spans="1:2" x14ac:dyDescent="0.25">
      <c r="A7558" s="4">
        <v>7553</v>
      </c>
      <c r="B7558" s="3" t="str">
        <f>"00581551"</f>
        <v>00581551</v>
      </c>
    </row>
    <row r="7559" spans="1:2" x14ac:dyDescent="0.25">
      <c r="A7559" s="4">
        <v>7554</v>
      </c>
      <c r="B7559" s="3" t="str">
        <f>"00581554"</f>
        <v>00581554</v>
      </c>
    </row>
    <row r="7560" spans="1:2" x14ac:dyDescent="0.25">
      <c r="A7560" s="4">
        <v>7555</v>
      </c>
      <c r="B7560" s="3" t="str">
        <f>"00581569"</f>
        <v>00581569</v>
      </c>
    </row>
    <row r="7561" spans="1:2" x14ac:dyDescent="0.25">
      <c r="A7561" s="4">
        <v>7556</v>
      </c>
      <c r="B7561" s="3" t="str">
        <f>"00581596"</f>
        <v>00581596</v>
      </c>
    </row>
    <row r="7562" spans="1:2" x14ac:dyDescent="0.25">
      <c r="A7562" s="4">
        <v>7557</v>
      </c>
      <c r="B7562" s="3" t="str">
        <f>"00581613"</f>
        <v>00581613</v>
      </c>
    </row>
    <row r="7563" spans="1:2" x14ac:dyDescent="0.25">
      <c r="A7563" s="4">
        <v>7558</v>
      </c>
      <c r="B7563" s="3" t="str">
        <f>"00581630"</f>
        <v>00581630</v>
      </c>
    </row>
    <row r="7564" spans="1:2" x14ac:dyDescent="0.25">
      <c r="A7564" s="4">
        <v>7559</v>
      </c>
      <c r="B7564" s="3" t="str">
        <f>"00581660"</f>
        <v>00581660</v>
      </c>
    </row>
    <row r="7565" spans="1:2" x14ac:dyDescent="0.25">
      <c r="A7565" s="4">
        <v>7560</v>
      </c>
      <c r="B7565" s="3" t="str">
        <f>"00581744"</f>
        <v>00581744</v>
      </c>
    </row>
    <row r="7566" spans="1:2" x14ac:dyDescent="0.25">
      <c r="A7566" s="4">
        <v>7561</v>
      </c>
      <c r="B7566" s="3" t="str">
        <f>"00581750"</f>
        <v>00581750</v>
      </c>
    </row>
    <row r="7567" spans="1:2" x14ac:dyDescent="0.25">
      <c r="A7567" s="4">
        <v>7562</v>
      </c>
      <c r="B7567" s="3" t="str">
        <f>"00581754"</f>
        <v>00581754</v>
      </c>
    </row>
    <row r="7568" spans="1:2" x14ac:dyDescent="0.25">
      <c r="A7568" s="4">
        <v>7563</v>
      </c>
      <c r="B7568" s="3" t="str">
        <f>"00581757"</f>
        <v>00581757</v>
      </c>
    </row>
    <row r="7569" spans="1:2" x14ac:dyDescent="0.25">
      <c r="A7569" s="4">
        <v>7564</v>
      </c>
      <c r="B7569" s="3" t="str">
        <f>"00581768"</f>
        <v>00581768</v>
      </c>
    </row>
    <row r="7570" spans="1:2" x14ac:dyDescent="0.25">
      <c r="A7570" s="4">
        <v>7565</v>
      </c>
      <c r="B7570" s="3" t="str">
        <f>"00581827"</f>
        <v>00581827</v>
      </c>
    </row>
    <row r="7571" spans="1:2" x14ac:dyDescent="0.25">
      <c r="A7571" s="4">
        <v>7566</v>
      </c>
      <c r="B7571" s="3" t="str">
        <f>"00581930"</f>
        <v>00581930</v>
      </c>
    </row>
    <row r="7572" spans="1:2" x14ac:dyDescent="0.25">
      <c r="A7572" s="4">
        <v>7567</v>
      </c>
      <c r="B7572" s="3" t="str">
        <f>"00581973"</f>
        <v>00581973</v>
      </c>
    </row>
    <row r="7573" spans="1:2" x14ac:dyDescent="0.25">
      <c r="A7573" s="4">
        <v>7568</v>
      </c>
      <c r="B7573" s="3" t="str">
        <f>"00581982"</f>
        <v>00581982</v>
      </c>
    </row>
    <row r="7574" spans="1:2" x14ac:dyDescent="0.25">
      <c r="A7574" s="4">
        <v>7569</v>
      </c>
      <c r="B7574" s="3" t="str">
        <f>"00582286"</f>
        <v>00582286</v>
      </c>
    </row>
    <row r="7575" spans="1:2" x14ac:dyDescent="0.25">
      <c r="A7575" s="4">
        <v>7570</v>
      </c>
      <c r="B7575" s="3" t="str">
        <f>"00582309"</f>
        <v>00582309</v>
      </c>
    </row>
    <row r="7576" spans="1:2" x14ac:dyDescent="0.25">
      <c r="A7576" s="4">
        <v>7571</v>
      </c>
      <c r="B7576" s="3" t="str">
        <f>"00582544"</f>
        <v>00582544</v>
      </c>
    </row>
    <row r="7577" spans="1:2" x14ac:dyDescent="0.25">
      <c r="A7577" s="4">
        <v>7572</v>
      </c>
      <c r="B7577" s="3" t="str">
        <f>"00582569"</f>
        <v>00582569</v>
      </c>
    </row>
    <row r="7578" spans="1:2" x14ac:dyDescent="0.25">
      <c r="A7578" s="4">
        <v>7573</v>
      </c>
      <c r="B7578" s="3" t="str">
        <f>"00582594"</f>
        <v>00582594</v>
      </c>
    </row>
    <row r="7579" spans="1:2" x14ac:dyDescent="0.25">
      <c r="A7579" s="4">
        <v>7574</v>
      </c>
      <c r="B7579" s="3" t="str">
        <f>"00582596"</f>
        <v>00582596</v>
      </c>
    </row>
    <row r="7580" spans="1:2" x14ac:dyDescent="0.25">
      <c r="A7580" s="4">
        <v>7575</v>
      </c>
      <c r="B7580" s="3" t="str">
        <f>"00582598"</f>
        <v>00582598</v>
      </c>
    </row>
    <row r="7581" spans="1:2" x14ac:dyDescent="0.25">
      <c r="A7581" s="4">
        <v>7576</v>
      </c>
      <c r="B7581" s="3" t="str">
        <f>"00582600"</f>
        <v>00582600</v>
      </c>
    </row>
    <row r="7582" spans="1:2" x14ac:dyDescent="0.25">
      <c r="A7582" s="4">
        <v>7577</v>
      </c>
      <c r="B7582" s="3" t="str">
        <f>"00582603"</f>
        <v>00582603</v>
      </c>
    </row>
    <row r="7583" spans="1:2" x14ac:dyDescent="0.25">
      <c r="A7583" s="4">
        <v>7578</v>
      </c>
      <c r="B7583" s="3" t="str">
        <f>"00582628"</f>
        <v>00582628</v>
      </c>
    </row>
    <row r="7584" spans="1:2" x14ac:dyDescent="0.25">
      <c r="A7584" s="4">
        <v>7579</v>
      </c>
      <c r="B7584" s="3" t="str">
        <f>"00582669"</f>
        <v>00582669</v>
      </c>
    </row>
    <row r="7585" spans="1:2" x14ac:dyDescent="0.25">
      <c r="A7585" s="4">
        <v>7580</v>
      </c>
      <c r="B7585" s="3" t="str">
        <f>"00582722"</f>
        <v>00582722</v>
      </c>
    </row>
    <row r="7586" spans="1:2" x14ac:dyDescent="0.25">
      <c r="A7586" s="4">
        <v>7581</v>
      </c>
      <c r="B7586" s="3" t="str">
        <f>"00582761"</f>
        <v>00582761</v>
      </c>
    </row>
    <row r="7587" spans="1:2" x14ac:dyDescent="0.25">
      <c r="A7587" s="4">
        <v>7582</v>
      </c>
      <c r="B7587" s="3" t="str">
        <f>"00583056"</f>
        <v>00583056</v>
      </c>
    </row>
    <row r="7588" spans="1:2" x14ac:dyDescent="0.25">
      <c r="A7588" s="4">
        <v>7583</v>
      </c>
      <c r="B7588" s="3" t="str">
        <f>"00583368"</f>
        <v>00583368</v>
      </c>
    </row>
    <row r="7589" spans="1:2" x14ac:dyDescent="0.25">
      <c r="A7589" s="4">
        <v>7584</v>
      </c>
      <c r="B7589" s="3" t="str">
        <f>"00583399"</f>
        <v>00583399</v>
      </c>
    </row>
    <row r="7590" spans="1:2" x14ac:dyDescent="0.25">
      <c r="A7590" s="4">
        <v>7585</v>
      </c>
      <c r="B7590" s="3" t="str">
        <f>"00583686"</f>
        <v>00583686</v>
      </c>
    </row>
    <row r="7591" spans="1:2" x14ac:dyDescent="0.25">
      <c r="A7591" s="4">
        <v>7586</v>
      </c>
      <c r="B7591" s="3" t="str">
        <f>"00584191"</f>
        <v>00584191</v>
      </c>
    </row>
    <row r="7592" spans="1:2" x14ac:dyDescent="0.25">
      <c r="A7592" s="4">
        <v>7587</v>
      </c>
      <c r="B7592" s="3" t="str">
        <f>"00584253"</f>
        <v>00584253</v>
      </c>
    </row>
    <row r="7593" spans="1:2" x14ac:dyDescent="0.25">
      <c r="A7593" s="4">
        <v>7588</v>
      </c>
      <c r="B7593" s="3" t="str">
        <f>"00584987"</f>
        <v>00584987</v>
      </c>
    </row>
    <row r="7594" spans="1:2" x14ac:dyDescent="0.25">
      <c r="A7594" s="4">
        <v>7589</v>
      </c>
      <c r="B7594" s="3" t="str">
        <f>"00585066"</f>
        <v>00585066</v>
      </c>
    </row>
    <row r="7595" spans="1:2" x14ac:dyDescent="0.25">
      <c r="A7595" s="4">
        <v>7590</v>
      </c>
      <c r="B7595" s="3" t="str">
        <f>"00585268"</f>
        <v>00585268</v>
      </c>
    </row>
    <row r="7596" spans="1:2" x14ac:dyDescent="0.25">
      <c r="A7596" s="4">
        <v>7591</v>
      </c>
      <c r="B7596" s="3" t="str">
        <f>"00585621"</f>
        <v>00585621</v>
      </c>
    </row>
    <row r="7597" spans="1:2" x14ac:dyDescent="0.25">
      <c r="A7597" s="4">
        <v>7592</v>
      </c>
      <c r="B7597" s="3" t="str">
        <f>"00585822"</f>
        <v>00585822</v>
      </c>
    </row>
    <row r="7598" spans="1:2" x14ac:dyDescent="0.25">
      <c r="A7598" s="4">
        <v>7593</v>
      </c>
      <c r="B7598" s="3" t="str">
        <f>"00585981"</f>
        <v>00585981</v>
      </c>
    </row>
    <row r="7599" spans="1:2" x14ac:dyDescent="0.25">
      <c r="A7599" s="4">
        <v>7594</v>
      </c>
      <c r="B7599" s="3" t="str">
        <f>"00586010"</f>
        <v>00586010</v>
      </c>
    </row>
    <row r="7600" spans="1:2" x14ac:dyDescent="0.25">
      <c r="A7600" s="4">
        <v>7595</v>
      </c>
      <c r="B7600" s="3" t="str">
        <f>"00586052"</f>
        <v>00586052</v>
      </c>
    </row>
    <row r="7601" spans="1:2" x14ac:dyDescent="0.25">
      <c r="A7601" s="4">
        <v>7596</v>
      </c>
      <c r="B7601" s="3" t="str">
        <f>"00586055"</f>
        <v>00586055</v>
      </c>
    </row>
    <row r="7602" spans="1:2" x14ac:dyDescent="0.25">
      <c r="A7602" s="4">
        <v>7597</v>
      </c>
      <c r="B7602" s="3" t="str">
        <f>"00586087"</f>
        <v>00586087</v>
      </c>
    </row>
    <row r="7603" spans="1:2" x14ac:dyDescent="0.25">
      <c r="A7603" s="4">
        <v>7598</v>
      </c>
      <c r="B7603" s="3" t="str">
        <f>"00586105"</f>
        <v>00586105</v>
      </c>
    </row>
    <row r="7604" spans="1:2" x14ac:dyDescent="0.25">
      <c r="A7604" s="4">
        <v>7599</v>
      </c>
      <c r="B7604" s="3" t="str">
        <f>"00586145"</f>
        <v>00586145</v>
      </c>
    </row>
    <row r="7605" spans="1:2" x14ac:dyDescent="0.25">
      <c r="A7605" s="4">
        <v>7600</v>
      </c>
      <c r="B7605" s="3" t="str">
        <f>"00586149"</f>
        <v>00586149</v>
      </c>
    </row>
    <row r="7606" spans="1:2" x14ac:dyDescent="0.25">
      <c r="A7606" s="4">
        <v>7601</v>
      </c>
      <c r="B7606" s="3" t="str">
        <f>"00586415"</f>
        <v>00586415</v>
      </c>
    </row>
    <row r="7607" spans="1:2" x14ac:dyDescent="0.25">
      <c r="A7607" s="4">
        <v>7602</v>
      </c>
      <c r="B7607" s="3" t="str">
        <f>"00586446"</f>
        <v>00586446</v>
      </c>
    </row>
    <row r="7608" spans="1:2" x14ac:dyDescent="0.25">
      <c r="A7608" s="4">
        <v>7603</v>
      </c>
      <c r="B7608" s="3" t="str">
        <f>"00586468"</f>
        <v>00586468</v>
      </c>
    </row>
    <row r="7609" spans="1:2" x14ac:dyDescent="0.25">
      <c r="A7609" s="4">
        <v>7604</v>
      </c>
      <c r="B7609" s="3" t="str">
        <f>"00586651"</f>
        <v>00586651</v>
      </c>
    </row>
    <row r="7610" spans="1:2" x14ac:dyDescent="0.25">
      <c r="A7610" s="4">
        <v>7605</v>
      </c>
      <c r="B7610" s="3" t="str">
        <f>"00586766"</f>
        <v>00586766</v>
      </c>
    </row>
    <row r="7611" spans="1:2" x14ac:dyDescent="0.25">
      <c r="A7611" s="4">
        <v>7606</v>
      </c>
      <c r="B7611" s="3" t="str">
        <f>"00586908"</f>
        <v>00586908</v>
      </c>
    </row>
    <row r="7612" spans="1:2" x14ac:dyDescent="0.25">
      <c r="A7612" s="4">
        <v>7607</v>
      </c>
      <c r="B7612" s="3" t="str">
        <f>"00586964"</f>
        <v>00586964</v>
      </c>
    </row>
    <row r="7613" spans="1:2" x14ac:dyDescent="0.25">
      <c r="A7613" s="4">
        <v>7608</v>
      </c>
      <c r="B7613" s="3" t="str">
        <f>"00587194"</f>
        <v>00587194</v>
      </c>
    </row>
    <row r="7614" spans="1:2" x14ac:dyDescent="0.25">
      <c r="A7614" s="4">
        <v>7609</v>
      </c>
      <c r="B7614" s="3" t="str">
        <f>"00587259"</f>
        <v>00587259</v>
      </c>
    </row>
    <row r="7615" spans="1:2" x14ac:dyDescent="0.25">
      <c r="A7615" s="4">
        <v>7610</v>
      </c>
      <c r="B7615" s="3" t="str">
        <f>"00587339"</f>
        <v>00587339</v>
      </c>
    </row>
    <row r="7616" spans="1:2" x14ac:dyDescent="0.25">
      <c r="A7616" s="4">
        <v>7611</v>
      </c>
      <c r="B7616" s="3" t="str">
        <f>"00587381"</f>
        <v>00587381</v>
      </c>
    </row>
    <row r="7617" spans="1:2" x14ac:dyDescent="0.25">
      <c r="A7617" s="4">
        <v>7612</v>
      </c>
      <c r="B7617" s="3" t="str">
        <f>"00587393"</f>
        <v>00587393</v>
      </c>
    </row>
    <row r="7618" spans="1:2" x14ac:dyDescent="0.25">
      <c r="A7618" s="4">
        <v>7613</v>
      </c>
      <c r="B7618" s="3" t="str">
        <f>"00587840"</f>
        <v>00587840</v>
      </c>
    </row>
    <row r="7619" spans="1:2" x14ac:dyDescent="0.25">
      <c r="A7619" s="4">
        <v>7614</v>
      </c>
      <c r="B7619" s="3" t="str">
        <f>"00587911"</f>
        <v>00587911</v>
      </c>
    </row>
    <row r="7620" spans="1:2" x14ac:dyDescent="0.25">
      <c r="A7620" s="4">
        <v>7615</v>
      </c>
      <c r="B7620" s="3" t="str">
        <f>"00587927"</f>
        <v>00587927</v>
      </c>
    </row>
    <row r="7621" spans="1:2" x14ac:dyDescent="0.25">
      <c r="A7621" s="4">
        <v>7616</v>
      </c>
      <c r="B7621" s="3" t="str">
        <f>"00588021"</f>
        <v>00588021</v>
      </c>
    </row>
    <row r="7622" spans="1:2" x14ac:dyDescent="0.25">
      <c r="A7622" s="4">
        <v>7617</v>
      </c>
      <c r="B7622" s="3" t="str">
        <f>"00588241"</f>
        <v>00588241</v>
      </c>
    </row>
    <row r="7623" spans="1:2" x14ac:dyDescent="0.25">
      <c r="A7623" s="4">
        <v>7618</v>
      </c>
      <c r="B7623" s="3" t="str">
        <f>"00588394"</f>
        <v>00588394</v>
      </c>
    </row>
    <row r="7624" spans="1:2" x14ac:dyDescent="0.25">
      <c r="A7624" s="4">
        <v>7619</v>
      </c>
      <c r="B7624" s="3" t="str">
        <f>"00588478"</f>
        <v>00588478</v>
      </c>
    </row>
    <row r="7625" spans="1:2" x14ac:dyDescent="0.25">
      <c r="A7625" s="4">
        <v>7620</v>
      </c>
      <c r="B7625" s="3" t="str">
        <f>"00588624"</f>
        <v>00588624</v>
      </c>
    </row>
    <row r="7626" spans="1:2" x14ac:dyDescent="0.25">
      <c r="A7626" s="4">
        <v>7621</v>
      </c>
      <c r="B7626" s="3" t="str">
        <f>"00588743"</f>
        <v>00588743</v>
      </c>
    </row>
    <row r="7627" spans="1:2" x14ac:dyDescent="0.25">
      <c r="A7627" s="4">
        <v>7622</v>
      </c>
      <c r="B7627" s="3" t="str">
        <f>"00588864"</f>
        <v>00588864</v>
      </c>
    </row>
    <row r="7628" spans="1:2" x14ac:dyDescent="0.25">
      <c r="A7628" s="4">
        <v>7623</v>
      </c>
      <c r="B7628" s="3" t="str">
        <f>"00589959"</f>
        <v>00589959</v>
      </c>
    </row>
    <row r="7629" spans="1:2" x14ac:dyDescent="0.25">
      <c r="A7629" s="4">
        <v>7624</v>
      </c>
      <c r="B7629" s="3" t="str">
        <f>"00590258"</f>
        <v>00590258</v>
      </c>
    </row>
    <row r="7630" spans="1:2" x14ac:dyDescent="0.25">
      <c r="A7630" s="4">
        <v>7625</v>
      </c>
      <c r="B7630" s="3" t="str">
        <f>"00590818"</f>
        <v>00590818</v>
      </c>
    </row>
    <row r="7631" spans="1:2" x14ac:dyDescent="0.25">
      <c r="A7631" s="4">
        <v>7626</v>
      </c>
      <c r="B7631" s="3" t="str">
        <f>"00593072"</f>
        <v>00593072</v>
      </c>
    </row>
    <row r="7632" spans="1:2" x14ac:dyDescent="0.25">
      <c r="A7632" s="4">
        <v>7627</v>
      </c>
      <c r="B7632" s="3" t="str">
        <f>"00593748"</f>
        <v>00593748</v>
      </c>
    </row>
    <row r="7633" spans="1:2" x14ac:dyDescent="0.25">
      <c r="A7633" s="4">
        <v>7628</v>
      </c>
      <c r="B7633" s="3" t="str">
        <f>"00594441"</f>
        <v>00594441</v>
      </c>
    </row>
    <row r="7634" spans="1:2" x14ac:dyDescent="0.25">
      <c r="A7634" s="4">
        <v>7629</v>
      </c>
      <c r="B7634" s="3" t="str">
        <f>"00594573"</f>
        <v>00594573</v>
      </c>
    </row>
    <row r="7635" spans="1:2" x14ac:dyDescent="0.25">
      <c r="A7635" s="4">
        <v>7630</v>
      </c>
      <c r="B7635" s="3" t="str">
        <f>"00594603"</f>
        <v>00594603</v>
      </c>
    </row>
    <row r="7636" spans="1:2" x14ac:dyDescent="0.25">
      <c r="A7636" s="4">
        <v>7631</v>
      </c>
      <c r="B7636" s="3" t="str">
        <f>"00594610"</f>
        <v>00594610</v>
      </c>
    </row>
    <row r="7637" spans="1:2" x14ac:dyDescent="0.25">
      <c r="A7637" s="4">
        <v>7632</v>
      </c>
      <c r="B7637" s="3" t="str">
        <f>"00594822"</f>
        <v>00594822</v>
      </c>
    </row>
    <row r="7638" spans="1:2" x14ac:dyDescent="0.25">
      <c r="A7638" s="4">
        <v>7633</v>
      </c>
      <c r="B7638" s="3" t="str">
        <f>"00594830"</f>
        <v>00594830</v>
      </c>
    </row>
    <row r="7639" spans="1:2" x14ac:dyDescent="0.25">
      <c r="A7639" s="4">
        <v>7634</v>
      </c>
      <c r="B7639" s="3" t="str">
        <f>"00594863"</f>
        <v>00594863</v>
      </c>
    </row>
    <row r="7640" spans="1:2" x14ac:dyDescent="0.25">
      <c r="A7640" s="4">
        <v>7635</v>
      </c>
      <c r="B7640" s="3" t="str">
        <f>"00595354"</f>
        <v>00595354</v>
      </c>
    </row>
    <row r="7641" spans="1:2" x14ac:dyDescent="0.25">
      <c r="A7641" s="4">
        <v>7636</v>
      </c>
      <c r="B7641" s="3" t="str">
        <f>"00598314"</f>
        <v>00598314</v>
      </c>
    </row>
    <row r="7642" spans="1:2" x14ac:dyDescent="0.25">
      <c r="A7642" s="4">
        <v>7637</v>
      </c>
      <c r="B7642" s="3" t="str">
        <f>"00598506"</f>
        <v>00598506</v>
      </c>
    </row>
    <row r="7643" spans="1:2" x14ac:dyDescent="0.25">
      <c r="A7643" s="4">
        <v>7638</v>
      </c>
      <c r="B7643" s="3" t="str">
        <f>"00598942"</f>
        <v>00598942</v>
      </c>
    </row>
    <row r="7644" spans="1:2" x14ac:dyDescent="0.25">
      <c r="A7644" s="4">
        <v>7639</v>
      </c>
      <c r="B7644" s="3" t="str">
        <f>"00599107"</f>
        <v>00599107</v>
      </c>
    </row>
    <row r="7645" spans="1:2" x14ac:dyDescent="0.25">
      <c r="A7645" s="4">
        <v>7640</v>
      </c>
      <c r="B7645" s="3" t="str">
        <f>"00599439"</f>
        <v>00599439</v>
      </c>
    </row>
    <row r="7646" spans="1:2" x14ac:dyDescent="0.25">
      <c r="A7646" s="4">
        <v>7641</v>
      </c>
      <c r="B7646" s="3" t="str">
        <f>"00599461"</f>
        <v>00599461</v>
      </c>
    </row>
    <row r="7647" spans="1:2" x14ac:dyDescent="0.25">
      <c r="A7647" s="4">
        <v>7642</v>
      </c>
      <c r="B7647" s="3" t="str">
        <f>"00599747"</f>
        <v>00599747</v>
      </c>
    </row>
    <row r="7648" spans="1:2" x14ac:dyDescent="0.25">
      <c r="A7648" s="4">
        <v>7643</v>
      </c>
      <c r="B7648" s="3" t="str">
        <f>"00599800"</f>
        <v>00599800</v>
      </c>
    </row>
    <row r="7649" spans="1:2" x14ac:dyDescent="0.25">
      <c r="A7649" s="4">
        <v>7644</v>
      </c>
      <c r="B7649" s="3" t="str">
        <f>"00599876"</f>
        <v>00599876</v>
      </c>
    </row>
    <row r="7650" spans="1:2" x14ac:dyDescent="0.25">
      <c r="A7650" s="4">
        <v>7645</v>
      </c>
      <c r="B7650" s="3" t="str">
        <f>"00599882"</f>
        <v>00599882</v>
      </c>
    </row>
    <row r="7651" spans="1:2" x14ac:dyDescent="0.25">
      <c r="A7651" s="4">
        <v>7646</v>
      </c>
      <c r="B7651" s="3" t="str">
        <f>"00599930"</f>
        <v>00599930</v>
      </c>
    </row>
    <row r="7652" spans="1:2" x14ac:dyDescent="0.25">
      <c r="A7652" s="4">
        <v>7647</v>
      </c>
      <c r="B7652" s="3" t="str">
        <f>"00599985"</f>
        <v>00599985</v>
      </c>
    </row>
    <row r="7653" spans="1:2" x14ac:dyDescent="0.25">
      <c r="A7653" s="4">
        <v>7648</v>
      </c>
      <c r="B7653" s="3" t="str">
        <f>"00600608"</f>
        <v>00600608</v>
      </c>
    </row>
    <row r="7654" spans="1:2" x14ac:dyDescent="0.25">
      <c r="A7654" s="4">
        <v>7649</v>
      </c>
      <c r="B7654" s="3" t="str">
        <f>"00600696"</f>
        <v>00600696</v>
      </c>
    </row>
    <row r="7655" spans="1:2" x14ac:dyDescent="0.25">
      <c r="A7655" s="4">
        <v>7650</v>
      </c>
      <c r="B7655" s="3" t="str">
        <f>"00600789"</f>
        <v>00600789</v>
      </c>
    </row>
    <row r="7656" spans="1:2" x14ac:dyDescent="0.25">
      <c r="A7656" s="4">
        <v>7651</v>
      </c>
      <c r="B7656" s="3" t="str">
        <f>"00600820"</f>
        <v>00600820</v>
      </c>
    </row>
    <row r="7657" spans="1:2" x14ac:dyDescent="0.25">
      <c r="A7657" s="4">
        <v>7652</v>
      </c>
      <c r="B7657" s="3" t="str">
        <f>"00601186"</f>
        <v>00601186</v>
      </c>
    </row>
    <row r="7658" spans="1:2" x14ac:dyDescent="0.25">
      <c r="A7658" s="4">
        <v>7653</v>
      </c>
      <c r="B7658" s="3" t="str">
        <f>"00601730"</f>
        <v>00601730</v>
      </c>
    </row>
    <row r="7659" spans="1:2" x14ac:dyDescent="0.25">
      <c r="A7659" s="4">
        <v>7654</v>
      </c>
      <c r="B7659" s="3" t="str">
        <f>"00602444"</f>
        <v>00602444</v>
      </c>
    </row>
    <row r="7660" spans="1:2" x14ac:dyDescent="0.25">
      <c r="A7660" s="4">
        <v>7655</v>
      </c>
      <c r="B7660" s="3" t="str">
        <f>"00602506"</f>
        <v>00602506</v>
      </c>
    </row>
    <row r="7661" spans="1:2" x14ac:dyDescent="0.25">
      <c r="A7661" s="4">
        <v>7656</v>
      </c>
      <c r="B7661" s="3" t="str">
        <f>"00602552"</f>
        <v>00602552</v>
      </c>
    </row>
    <row r="7662" spans="1:2" x14ac:dyDescent="0.25">
      <c r="A7662" s="4">
        <v>7657</v>
      </c>
      <c r="B7662" s="3" t="str">
        <f>"00602785"</f>
        <v>00602785</v>
      </c>
    </row>
    <row r="7663" spans="1:2" x14ac:dyDescent="0.25">
      <c r="A7663" s="4">
        <v>7658</v>
      </c>
      <c r="B7663" s="3" t="str">
        <f>"00602790"</f>
        <v>00602790</v>
      </c>
    </row>
    <row r="7664" spans="1:2" x14ac:dyDescent="0.25">
      <c r="A7664" s="4">
        <v>7659</v>
      </c>
      <c r="B7664" s="3" t="str">
        <f>"00604357"</f>
        <v>00604357</v>
      </c>
    </row>
    <row r="7665" spans="1:2" x14ac:dyDescent="0.25">
      <c r="A7665" s="4">
        <v>7660</v>
      </c>
      <c r="B7665" s="3" t="str">
        <f>"00604566"</f>
        <v>00604566</v>
      </c>
    </row>
    <row r="7666" spans="1:2" x14ac:dyDescent="0.25">
      <c r="A7666" s="4">
        <v>7661</v>
      </c>
      <c r="B7666" s="3" t="str">
        <f>"00604952"</f>
        <v>00604952</v>
      </c>
    </row>
    <row r="7667" spans="1:2" x14ac:dyDescent="0.25">
      <c r="A7667" s="4">
        <v>7662</v>
      </c>
      <c r="B7667" s="3" t="str">
        <f>"00605220"</f>
        <v>00605220</v>
      </c>
    </row>
    <row r="7668" spans="1:2" x14ac:dyDescent="0.25">
      <c r="A7668" s="4">
        <v>7663</v>
      </c>
      <c r="B7668" s="3" t="str">
        <f>"00605308"</f>
        <v>00605308</v>
      </c>
    </row>
    <row r="7669" spans="1:2" x14ac:dyDescent="0.25">
      <c r="A7669" s="4">
        <v>7664</v>
      </c>
      <c r="B7669" s="3" t="str">
        <f>"00605931"</f>
        <v>00605931</v>
      </c>
    </row>
    <row r="7670" spans="1:2" x14ac:dyDescent="0.25">
      <c r="A7670" s="4">
        <v>7665</v>
      </c>
      <c r="B7670" s="3" t="str">
        <f>"00606218"</f>
        <v>00606218</v>
      </c>
    </row>
    <row r="7671" spans="1:2" x14ac:dyDescent="0.25">
      <c r="A7671" s="4">
        <v>7666</v>
      </c>
      <c r="B7671" s="3" t="str">
        <f>"00606610"</f>
        <v>00606610</v>
      </c>
    </row>
    <row r="7672" spans="1:2" x14ac:dyDescent="0.25">
      <c r="A7672" s="4">
        <v>7667</v>
      </c>
      <c r="B7672" s="3" t="str">
        <f>"00607096"</f>
        <v>00607096</v>
      </c>
    </row>
    <row r="7673" spans="1:2" x14ac:dyDescent="0.25">
      <c r="A7673" s="4">
        <v>7668</v>
      </c>
      <c r="B7673" s="3" t="str">
        <f>"00607776"</f>
        <v>00607776</v>
      </c>
    </row>
    <row r="7674" spans="1:2" x14ac:dyDescent="0.25">
      <c r="A7674" s="4">
        <v>7669</v>
      </c>
      <c r="B7674" s="3" t="str">
        <f>"00607995"</f>
        <v>00607995</v>
      </c>
    </row>
    <row r="7675" spans="1:2" x14ac:dyDescent="0.25">
      <c r="A7675" s="4">
        <v>7670</v>
      </c>
      <c r="B7675" s="3" t="str">
        <f>"00608924"</f>
        <v>00608924</v>
      </c>
    </row>
    <row r="7676" spans="1:2" x14ac:dyDescent="0.25">
      <c r="A7676" s="4">
        <v>7671</v>
      </c>
      <c r="B7676" s="3" t="str">
        <f>"00610044"</f>
        <v>00610044</v>
      </c>
    </row>
    <row r="7677" spans="1:2" x14ac:dyDescent="0.25">
      <c r="A7677" s="4">
        <v>7672</v>
      </c>
      <c r="B7677" s="3" t="str">
        <f>"00610150"</f>
        <v>00610150</v>
      </c>
    </row>
    <row r="7678" spans="1:2" x14ac:dyDescent="0.25">
      <c r="A7678" s="4">
        <v>7673</v>
      </c>
      <c r="B7678" s="3" t="str">
        <f>"00611380"</f>
        <v>00611380</v>
      </c>
    </row>
    <row r="7679" spans="1:2" x14ac:dyDescent="0.25">
      <c r="A7679" s="4">
        <v>7674</v>
      </c>
      <c r="B7679" s="3" t="str">
        <f>"00611463"</f>
        <v>00611463</v>
      </c>
    </row>
    <row r="7680" spans="1:2" x14ac:dyDescent="0.25">
      <c r="A7680" s="4">
        <v>7675</v>
      </c>
      <c r="B7680" s="3" t="str">
        <f>"00611705"</f>
        <v>00611705</v>
      </c>
    </row>
    <row r="7681" spans="1:2" x14ac:dyDescent="0.25">
      <c r="A7681" s="4">
        <v>7676</v>
      </c>
      <c r="B7681" s="3" t="str">
        <f>"00611826"</f>
        <v>00611826</v>
      </c>
    </row>
    <row r="7682" spans="1:2" x14ac:dyDescent="0.25">
      <c r="A7682" s="4">
        <v>7677</v>
      </c>
      <c r="B7682" s="3" t="str">
        <f>"00612474"</f>
        <v>00612474</v>
      </c>
    </row>
    <row r="7683" spans="1:2" x14ac:dyDescent="0.25">
      <c r="A7683" s="4">
        <v>7678</v>
      </c>
      <c r="B7683" s="3" t="str">
        <f>"00612558"</f>
        <v>00612558</v>
      </c>
    </row>
    <row r="7684" spans="1:2" x14ac:dyDescent="0.25">
      <c r="A7684" s="4">
        <v>7679</v>
      </c>
      <c r="B7684" s="3" t="str">
        <f>"00612839"</f>
        <v>00612839</v>
      </c>
    </row>
    <row r="7685" spans="1:2" x14ac:dyDescent="0.25">
      <c r="A7685" s="4">
        <v>7680</v>
      </c>
      <c r="B7685" s="3" t="str">
        <f>"00612931"</f>
        <v>00612931</v>
      </c>
    </row>
    <row r="7686" spans="1:2" x14ac:dyDescent="0.25">
      <c r="A7686" s="4">
        <v>7681</v>
      </c>
      <c r="B7686" s="3" t="str">
        <f>"00612998"</f>
        <v>00612998</v>
      </c>
    </row>
    <row r="7687" spans="1:2" x14ac:dyDescent="0.25">
      <c r="A7687" s="4">
        <v>7682</v>
      </c>
      <c r="B7687" s="3" t="str">
        <f>"00614053"</f>
        <v>00614053</v>
      </c>
    </row>
    <row r="7688" spans="1:2" x14ac:dyDescent="0.25">
      <c r="A7688" s="4">
        <v>7683</v>
      </c>
      <c r="B7688" s="3" t="str">
        <f>"00614175"</f>
        <v>00614175</v>
      </c>
    </row>
    <row r="7689" spans="1:2" x14ac:dyDescent="0.25">
      <c r="A7689" s="4">
        <v>7684</v>
      </c>
      <c r="B7689" s="3" t="str">
        <f>"00614253"</f>
        <v>00614253</v>
      </c>
    </row>
    <row r="7690" spans="1:2" x14ac:dyDescent="0.25">
      <c r="A7690" s="4">
        <v>7685</v>
      </c>
      <c r="B7690" s="3" t="str">
        <f>"00614401"</f>
        <v>00614401</v>
      </c>
    </row>
    <row r="7691" spans="1:2" x14ac:dyDescent="0.25">
      <c r="A7691" s="4">
        <v>7686</v>
      </c>
      <c r="B7691" s="3" t="str">
        <f>"00614878"</f>
        <v>00614878</v>
      </c>
    </row>
    <row r="7692" spans="1:2" x14ac:dyDescent="0.25">
      <c r="A7692" s="4">
        <v>7687</v>
      </c>
      <c r="B7692" s="3" t="str">
        <f>"00614883"</f>
        <v>00614883</v>
      </c>
    </row>
    <row r="7693" spans="1:2" x14ac:dyDescent="0.25">
      <c r="A7693" s="4">
        <v>7688</v>
      </c>
      <c r="B7693" s="3" t="str">
        <f>"00614985"</f>
        <v>00614985</v>
      </c>
    </row>
    <row r="7694" spans="1:2" x14ac:dyDescent="0.25">
      <c r="A7694" s="4">
        <v>7689</v>
      </c>
      <c r="B7694" s="3" t="str">
        <f>"00615862"</f>
        <v>00615862</v>
      </c>
    </row>
    <row r="7695" spans="1:2" x14ac:dyDescent="0.25">
      <c r="A7695" s="4">
        <v>7690</v>
      </c>
      <c r="B7695" s="3" t="str">
        <f>"00616128"</f>
        <v>00616128</v>
      </c>
    </row>
    <row r="7696" spans="1:2" x14ac:dyDescent="0.25">
      <c r="A7696" s="4">
        <v>7691</v>
      </c>
      <c r="B7696" s="3" t="str">
        <f>"00616402"</f>
        <v>00616402</v>
      </c>
    </row>
    <row r="7697" spans="1:2" x14ac:dyDescent="0.25">
      <c r="A7697" s="4">
        <v>7692</v>
      </c>
      <c r="B7697" s="3" t="str">
        <f>"00616705"</f>
        <v>00616705</v>
      </c>
    </row>
    <row r="7698" spans="1:2" x14ac:dyDescent="0.25">
      <c r="A7698" s="4">
        <v>7693</v>
      </c>
      <c r="B7698" s="3" t="str">
        <f>"00617171"</f>
        <v>00617171</v>
      </c>
    </row>
    <row r="7699" spans="1:2" x14ac:dyDescent="0.25">
      <c r="A7699" s="4">
        <v>7694</v>
      </c>
      <c r="B7699" s="3" t="str">
        <f>"00617663"</f>
        <v>00617663</v>
      </c>
    </row>
    <row r="7700" spans="1:2" x14ac:dyDescent="0.25">
      <c r="A7700" s="4">
        <v>7695</v>
      </c>
      <c r="B7700" s="3" t="str">
        <f>"00618007"</f>
        <v>00618007</v>
      </c>
    </row>
    <row r="7701" spans="1:2" x14ac:dyDescent="0.25">
      <c r="A7701" s="4">
        <v>7696</v>
      </c>
      <c r="B7701" s="3" t="str">
        <f>"00618401"</f>
        <v>00618401</v>
      </c>
    </row>
    <row r="7702" spans="1:2" x14ac:dyDescent="0.25">
      <c r="A7702" s="4">
        <v>7697</v>
      </c>
      <c r="B7702" s="3" t="str">
        <f>"00618527"</f>
        <v>00618527</v>
      </c>
    </row>
    <row r="7703" spans="1:2" x14ac:dyDescent="0.25">
      <c r="A7703" s="4">
        <v>7698</v>
      </c>
      <c r="B7703" s="3" t="str">
        <f>"00618641"</f>
        <v>00618641</v>
      </c>
    </row>
    <row r="7704" spans="1:2" x14ac:dyDescent="0.25">
      <c r="A7704" s="4">
        <v>7699</v>
      </c>
      <c r="B7704" s="3" t="str">
        <f>"00619013"</f>
        <v>00619013</v>
      </c>
    </row>
    <row r="7705" spans="1:2" x14ac:dyDescent="0.25">
      <c r="A7705" s="4">
        <v>7700</v>
      </c>
      <c r="B7705" s="3" t="str">
        <f>"00620003"</f>
        <v>00620003</v>
      </c>
    </row>
    <row r="7706" spans="1:2" x14ac:dyDescent="0.25">
      <c r="A7706" s="4">
        <v>7701</v>
      </c>
      <c r="B7706" s="3" t="str">
        <f>"00620385"</f>
        <v>00620385</v>
      </c>
    </row>
    <row r="7707" spans="1:2" x14ac:dyDescent="0.25">
      <c r="A7707" s="4">
        <v>7702</v>
      </c>
      <c r="B7707" s="3" t="str">
        <f>"00621388"</f>
        <v>00621388</v>
      </c>
    </row>
    <row r="7708" spans="1:2" x14ac:dyDescent="0.25">
      <c r="A7708" s="4">
        <v>7703</v>
      </c>
      <c r="B7708" s="3" t="str">
        <f>"00621729"</f>
        <v>00621729</v>
      </c>
    </row>
    <row r="7709" spans="1:2" x14ac:dyDescent="0.25">
      <c r="A7709" s="4">
        <v>7704</v>
      </c>
      <c r="B7709" s="3" t="str">
        <f>"00622050"</f>
        <v>00622050</v>
      </c>
    </row>
    <row r="7710" spans="1:2" x14ac:dyDescent="0.25">
      <c r="A7710" s="4">
        <v>7705</v>
      </c>
      <c r="B7710" s="3" t="str">
        <f>"00622188"</f>
        <v>00622188</v>
      </c>
    </row>
    <row r="7711" spans="1:2" x14ac:dyDescent="0.25">
      <c r="A7711" s="4">
        <v>7706</v>
      </c>
      <c r="B7711" s="3" t="str">
        <f>"00622709"</f>
        <v>00622709</v>
      </c>
    </row>
    <row r="7712" spans="1:2" x14ac:dyDescent="0.25">
      <c r="A7712" s="4">
        <v>7707</v>
      </c>
      <c r="B7712" s="3" t="str">
        <f>"00623098"</f>
        <v>00623098</v>
      </c>
    </row>
    <row r="7713" spans="1:2" x14ac:dyDescent="0.25">
      <c r="A7713" s="4">
        <v>7708</v>
      </c>
      <c r="B7713" s="3" t="str">
        <f>"00623149"</f>
        <v>00623149</v>
      </c>
    </row>
    <row r="7714" spans="1:2" x14ac:dyDescent="0.25">
      <c r="A7714" s="4">
        <v>7709</v>
      </c>
      <c r="B7714" s="3" t="str">
        <f>"00623189"</f>
        <v>00623189</v>
      </c>
    </row>
    <row r="7715" spans="1:2" x14ac:dyDescent="0.25">
      <c r="A7715" s="4">
        <v>7710</v>
      </c>
      <c r="B7715" s="3" t="str">
        <f>"00624367"</f>
        <v>00624367</v>
      </c>
    </row>
    <row r="7716" spans="1:2" x14ac:dyDescent="0.25">
      <c r="A7716" s="4">
        <v>7711</v>
      </c>
      <c r="B7716" s="3" t="str">
        <f>"00624803"</f>
        <v>00624803</v>
      </c>
    </row>
    <row r="7717" spans="1:2" x14ac:dyDescent="0.25">
      <c r="A7717" s="4">
        <v>7712</v>
      </c>
      <c r="B7717" s="3" t="str">
        <f>"00624972"</f>
        <v>00624972</v>
      </c>
    </row>
    <row r="7718" spans="1:2" x14ac:dyDescent="0.25">
      <c r="A7718" s="4">
        <v>7713</v>
      </c>
      <c r="B7718" s="3" t="str">
        <f>"00625180"</f>
        <v>00625180</v>
      </c>
    </row>
    <row r="7719" spans="1:2" x14ac:dyDescent="0.25">
      <c r="A7719" s="4">
        <v>7714</v>
      </c>
      <c r="B7719" s="3" t="str">
        <f>"00626071"</f>
        <v>00626071</v>
      </c>
    </row>
    <row r="7720" spans="1:2" x14ac:dyDescent="0.25">
      <c r="A7720" s="4">
        <v>7715</v>
      </c>
      <c r="B7720" s="3" t="str">
        <f>"00626748"</f>
        <v>00626748</v>
      </c>
    </row>
    <row r="7721" spans="1:2" x14ac:dyDescent="0.25">
      <c r="A7721" s="4">
        <v>7716</v>
      </c>
      <c r="B7721" s="3" t="str">
        <f>"00627569"</f>
        <v>00627569</v>
      </c>
    </row>
    <row r="7722" spans="1:2" x14ac:dyDescent="0.25">
      <c r="A7722" s="4">
        <v>7717</v>
      </c>
      <c r="B7722" s="3" t="str">
        <f>"00628346"</f>
        <v>00628346</v>
      </c>
    </row>
    <row r="7723" spans="1:2" x14ac:dyDescent="0.25">
      <c r="A7723" s="4">
        <v>7718</v>
      </c>
      <c r="B7723" s="3" t="str">
        <f>"00629348"</f>
        <v>00629348</v>
      </c>
    </row>
    <row r="7724" spans="1:2" x14ac:dyDescent="0.25">
      <c r="A7724" s="4">
        <v>7719</v>
      </c>
      <c r="B7724" s="3" t="str">
        <f>"00630000"</f>
        <v>00630000</v>
      </c>
    </row>
    <row r="7725" spans="1:2" x14ac:dyDescent="0.25">
      <c r="A7725" s="4">
        <v>7720</v>
      </c>
      <c r="B7725" s="3" t="str">
        <f>"00630365"</f>
        <v>00630365</v>
      </c>
    </row>
    <row r="7726" spans="1:2" x14ac:dyDescent="0.25">
      <c r="A7726" s="4">
        <v>7721</v>
      </c>
      <c r="B7726" s="3" t="str">
        <f>"00630997"</f>
        <v>00630997</v>
      </c>
    </row>
    <row r="7727" spans="1:2" x14ac:dyDescent="0.25">
      <c r="A7727" s="4">
        <v>7722</v>
      </c>
      <c r="B7727" s="3" t="str">
        <f>"00631064"</f>
        <v>00631064</v>
      </c>
    </row>
    <row r="7728" spans="1:2" x14ac:dyDescent="0.25">
      <c r="A7728" s="4">
        <v>7723</v>
      </c>
      <c r="B7728" s="3" t="str">
        <f>"00632209"</f>
        <v>00632209</v>
      </c>
    </row>
    <row r="7729" spans="1:2" x14ac:dyDescent="0.25">
      <c r="A7729" s="4">
        <v>7724</v>
      </c>
      <c r="B7729" s="3" t="str">
        <f>"00632310"</f>
        <v>00632310</v>
      </c>
    </row>
    <row r="7730" spans="1:2" x14ac:dyDescent="0.25">
      <c r="A7730" s="4">
        <v>7725</v>
      </c>
      <c r="B7730" s="3" t="str">
        <f>"00632612"</f>
        <v>00632612</v>
      </c>
    </row>
    <row r="7731" spans="1:2" x14ac:dyDescent="0.25">
      <c r="A7731" s="4">
        <v>7726</v>
      </c>
      <c r="B7731" s="3" t="str">
        <f>"00632729"</f>
        <v>00632729</v>
      </c>
    </row>
    <row r="7732" spans="1:2" x14ac:dyDescent="0.25">
      <c r="A7732" s="4">
        <v>7727</v>
      </c>
      <c r="B7732" s="3" t="str">
        <f>"00632883"</f>
        <v>00632883</v>
      </c>
    </row>
    <row r="7733" spans="1:2" x14ac:dyDescent="0.25">
      <c r="A7733" s="4">
        <v>7728</v>
      </c>
      <c r="B7733" s="3" t="str">
        <f>"00633316"</f>
        <v>00633316</v>
      </c>
    </row>
    <row r="7734" spans="1:2" x14ac:dyDescent="0.25">
      <c r="A7734" s="4">
        <v>7729</v>
      </c>
      <c r="B7734" s="3" t="str">
        <f>"00633340"</f>
        <v>00633340</v>
      </c>
    </row>
    <row r="7735" spans="1:2" x14ac:dyDescent="0.25">
      <c r="A7735" s="4">
        <v>7730</v>
      </c>
      <c r="B7735" s="3" t="str">
        <f>"00633743"</f>
        <v>00633743</v>
      </c>
    </row>
    <row r="7736" spans="1:2" x14ac:dyDescent="0.25">
      <c r="A7736" s="4">
        <v>7731</v>
      </c>
      <c r="B7736" s="3" t="str">
        <f>"00633981"</f>
        <v>00633981</v>
      </c>
    </row>
    <row r="7737" spans="1:2" x14ac:dyDescent="0.25">
      <c r="A7737" s="4">
        <v>7732</v>
      </c>
      <c r="B7737" s="3" t="str">
        <f>"00634476"</f>
        <v>00634476</v>
      </c>
    </row>
    <row r="7738" spans="1:2" x14ac:dyDescent="0.25">
      <c r="A7738" s="4">
        <v>7733</v>
      </c>
      <c r="B7738" s="3" t="str">
        <f>"00635161"</f>
        <v>00635161</v>
      </c>
    </row>
    <row r="7739" spans="1:2" x14ac:dyDescent="0.25">
      <c r="A7739" s="4">
        <v>7734</v>
      </c>
      <c r="B7739" s="3" t="str">
        <f>"00635638"</f>
        <v>00635638</v>
      </c>
    </row>
    <row r="7740" spans="1:2" x14ac:dyDescent="0.25">
      <c r="A7740" s="4">
        <v>7735</v>
      </c>
      <c r="B7740" s="3" t="str">
        <f>"00636476"</f>
        <v>00636476</v>
      </c>
    </row>
    <row r="7741" spans="1:2" x14ac:dyDescent="0.25">
      <c r="A7741" s="4">
        <v>7736</v>
      </c>
      <c r="B7741" s="3" t="str">
        <f>"00636521"</f>
        <v>00636521</v>
      </c>
    </row>
    <row r="7742" spans="1:2" x14ac:dyDescent="0.25">
      <c r="A7742" s="4">
        <v>7737</v>
      </c>
      <c r="B7742" s="3" t="str">
        <f>"00637132"</f>
        <v>00637132</v>
      </c>
    </row>
    <row r="7743" spans="1:2" x14ac:dyDescent="0.25">
      <c r="A7743" s="4">
        <v>7738</v>
      </c>
      <c r="B7743" s="3" t="str">
        <f>"00637738"</f>
        <v>00637738</v>
      </c>
    </row>
    <row r="7744" spans="1:2" x14ac:dyDescent="0.25">
      <c r="A7744" s="4">
        <v>7739</v>
      </c>
      <c r="B7744" s="3" t="str">
        <f>"00638924"</f>
        <v>00638924</v>
      </c>
    </row>
    <row r="7745" spans="1:2" x14ac:dyDescent="0.25">
      <c r="A7745" s="4">
        <v>7740</v>
      </c>
      <c r="B7745" s="3" t="str">
        <f>"00639571"</f>
        <v>00639571</v>
      </c>
    </row>
    <row r="7746" spans="1:2" x14ac:dyDescent="0.25">
      <c r="A7746" s="4">
        <v>7741</v>
      </c>
      <c r="B7746" s="3" t="str">
        <f>"00639953"</f>
        <v>00639953</v>
      </c>
    </row>
    <row r="7747" spans="1:2" x14ac:dyDescent="0.25">
      <c r="A7747" s="4">
        <v>7742</v>
      </c>
      <c r="B7747" s="3" t="str">
        <f>"00640523"</f>
        <v>00640523</v>
      </c>
    </row>
    <row r="7748" spans="1:2" x14ac:dyDescent="0.25">
      <c r="A7748" s="4">
        <v>7743</v>
      </c>
      <c r="B7748" s="3" t="str">
        <f>"00642040"</f>
        <v>00642040</v>
      </c>
    </row>
    <row r="7749" spans="1:2" x14ac:dyDescent="0.25">
      <c r="A7749" s="4">
        <v>7744</v>
      </c>
      <c r="B7749" s="3" t="str">
        <f>"00642145"</f>
        <v>00642145</v>
      </c>
    </row>
    <row r="7750" spans="1:2" x14ac:dyDescent="0.25">
      <c r="A7750" s="4">
        <v>7745</v>
      </c>
      <c r="B7750" s="3" t="str">
        <f>"00642746"</f>
        <v>00642746</v>
      </c>
    </row>
    <row r="7751" spans="1:2" x14ac:dyDescent="0.25">
      <c r="A7751" s="4">
        <v>7746</v>
      </c>
      <c r="B7751" s="3" t="str">
        <f>"00643159"</f>
        <v>00643159</v>
      </c>
    </row>
    <row r="7752" spans="1:2" x14ac:dyDescent="0.25">
      <c r="A7752" s="4">
        <v>7747</v>
      </c>
      <c r="B7752" s="3" t="str">
        <f>"00643268"</f>
        <v>00643268</v>
      </c>
    </row>
    <row r="7753" spans="1:2" x14ac:dyDescent="0.25">
      <c r="A7753" s="4">
        <v>7748</v>
      </c>
      <c r="B7753" s="3" t="str">
        <f>"00643428"</f>
        <v>00643428</v>
      </c>
    </row>
    <row r="7754" spans="1:2" x14ac:dyDescent="0.25">
      <c r="A7754" s="4">
        <v>7749</v>
      </c>
      <c r="B7754" s="3" t="str">
        <f>"00643623"</f>
        <v>00643623</v>
      </c>
    </row>
    <row r="7755" spans="1:2" x14ac:dyDescent="0.25">
      <c r="A7755" s="4">
        <v>7750</v>
      </c>
      <c r="B7755" s="3" t="str">
        <f>"00643905"</f>
        <v>00643905</v>
      </c>
    </row>
    <row r="7756" spans="1:2" x14ac:dyDescent="0.25">
      <c r="A7756" s="4">
        <v>7751</v>
      </c>
      <c r="B7756" s="3" t="str">
        <f>"00644765"</f>
        <v>00644765</v>
      </c>
    </row>
    <row r="7757" spans="1:2" x14ac:dyDescent="0.25">
      <c r="A7757" s="4">
        <v>7752</v>
      </c>
      <c r="B7757" s="3" t="str">
        <f>"00646537"</f>
        <v>00646537</v>
      </c>
    </row>
    <row r="7758" spans="1:2" x14ac:dyDescent="0.25">
      <c r="A7758" s="4">
        <v>7753</v>
      </c>
      <c r="B7758" s="3" t="str">
        <f>"00647214"</f>
        <v>00647214</v>
      </c>
    </row>
    <row r="7759" spans="1:2" x14ac:dyDescent="0.25">
      <c r="A7759" s="4">
        <v>7754</v>
      </c>
      <c r="B7759" s="3" t="str">
        <f>"00647999"</f>
        <v>00647999</v>
      </c>
    </row>
    <row r="7760" spans="1:2" x14ac:dyDescent="0.25">
      <c r="A7760" s="4">
        <v>7755</v>
      </c>
      <c r="B7760" s="3" t="str">
        <f>"00648006"</f>
        <v>00648006</v>
      </c>
    </row>
    <row r="7761" spans="1:2" x14ac:dyDescent="0.25">
      <c r="A7761" s="4">
        <v>7756</v>
      </c>
      <c r="B7761" s="3" t="str">
        <f>"00649394"</f>
        <v>00649394</v>
      </c>
    </row>
    <row r="7762" spans="1:2" x14ac:dyDescent="0.25">
      <c r="A7762" s="4">
        <v>7757</v>
      </c>
      <c r="B7762" s="3" t="str">
        <f>"00649488"</f>
        <v>00649488</v>
      </c>
    </row>
    <row r="7763" spans="1:2" x14ac:dyDescent="0.25">
      <c r="A7763" s="4">
        <v>7758</v>
      </c>
      <c r="B7763" s="3" t="str">
        <f>"00650155"</f>
        <v>00650155</v>
      </c>
    </row>
    <row r="7764" spans="1:2" x14ac:dyDescent="0.25">
      <c r="A7764" s="4">
        <v>7759</v>
      </c>
      <c r="B7764" s="3" t="str">
        <f>"00650417"</f>
        <v>00650417</v>
      </c>
    </row>
    <row r="7765" spans="1:2" x14ac:dyDescent="0.25">
      <c r="A7765" s="4">
        <v>7760</v>
      </c>
      <c r="B7765" s="3" t="str">
        <f>"00650809"</f>
        <v>00650809</v>
      </c>
    </row>
    <row r="7766" spans="1:2" x14ac:dyDescent="0.25">
      <c r="A7766" s="4">
        <v>7761</v>
      </c>
      <c r="B7766" s="3" t="str">
        <f>"00651003"</f>
        <v>00651003</v>
      </c>
    </row>
    <row r="7767" spans="1:2" x14ac:dyDescent="0.25">
      <c r="A7767" s="4">
        <v>7762</v>
      </c>
      <c r="B7767" s="3" t="str">
        <f>"00651080"</f>
        <v>00651080</v>
      </c>
    </row>
    <row r="7768" spans="1:2" x14ac:dyDescent="0.25">
      <c r="A7768" s="4">
        <v>7763</v>
      </c>
      <c r="B7768" s="3" t="str">
        <f>"00651134"</f>
        <v>00651134</v>
      </c>
    </row>
    <row r="7769" spans="1:2" x14ac:dyDescent="0.25">
      <c r="A7769" s="4">
        <v>7764</v>
      </c>
      <c r="B7769" s="3" t="str">
        <f>"00651372"</f>
        <v>00651372</v>
      </c>
    </row>
    <row r="7770" spans="1:2" x14ac:dyDescent="0.25">
      <c r="A7770" s="4">
        <v>7765</v>
      </c>
      <c r="B7770" s="3" t="str">
        <f>"00652402"</f>
        <v>00652402</v>
      </c>
    </row>
    <row r="7771" spans="1:2" x14ac:dyDescent="0.25">
      <c r="A7771" s="4">
        <v>7766</v>
      </c>
      <c r="B7771" s="3" t="str">
        <f>"00652449"</f>
        <v>00652449</v>
      </c>
    </row>
    <row r="7772" spans="1:2" x14ac:dyDescent="0.25">
      <c r="A7772" s="4">
        <v>7767</v>
      </c>
      <c r="B7772" s="3" t="str">
        <f>"00652464"</f>
        <v>00652464</v>
      </c>
    </row>
    <row r="7773" spans="1:2" x14ac:dyDescent="0.25">
      <c r="A7773" s="4">
        <v>7768</v>
      </c>
      <c r="B7773" s="3" t="str">
        <f>"00652495"</f>
        <v>00652495</v>
      </c>
    </row>
    <row r="7774" spans="1:2" x14ac:dyDescent="0.25">
      <c r="A7774" s="4">
        <v>7769</v>
      </c>
      <c r="B7774" s="3" t="str">
        <f>"00652727"</f>
        <v>00652727</v>
      </c>
    </row>
    <row r="7775" spans="1:2" x14ac:dyDescent="0.25">
      <c r="A7775" s="4">
        <v>7770</v>
      </c>
      <c r="B7775" s="3" t="str">
        <f>"00652837"</f>
        <v>00652837</v>
      </c>
    </row>
    <row r="7776" spans="1:2" x14ac:dyDescent="0.25">
      <c r="A7776" s="4">
        <v>7771</v>
      </c>
      <c r="B7776" s="3" t="str">
        <f>"00652912"</f>
        <v>00652912</v>
      </c>
    </row>
    <row r="7777" spans="1:2" x14ac:dyDescent="0.25">
      <c r="A7777" s="4">
        <v>7772</v>
      </c>
      <c r="B7777" s="3" t="str">
        <f>"00653092"</f>
        <v>00653092</v>
      </c>
    </row>
    <row r="7778" spans="1:2" x14ac:dyDescent="0.25">
      <c r="A7778" s="4">
        <v>7773</v>
      </c>
      <c r="B7778" s="3" t="str">
        <f>"00653317"</f>
        <v>00653317</v>
      </c>
    </row>
    <row r="7779" spans="1:2" x14ac:dyDescent="0.25">
      <c r="A7779" s="4">
        <v>7774</v>
      </c>
      <c r="B7779" s="3" t="str">
        <f>"00653378"</f>
        <v>00653378</v>
      </c>
    </row>
    <row r="7780" spans="1:2" x14ac:dyDescent="0.25">
      <c r="A7780" s="4">
        <v>7775</v>
      </c>
      <c r="B7780" s="3" t="str">
        <f>"00653447"</f>
        <v>00653447</v>
      </c>
    </row>
    <row r="7781" spans="1:2" x14ac:dyDescent="0.25">
      <c r="A7781" s="4">
        <v>7776</v>
      </c>
      <c r="B7781" s="3" t="str">
        <f>"00653526"</f>
        <v>00653526</v>
      </c>
    </row>
    <row r="7782" spans="1:2" x14ac:dyDescent="0.25">
      <c r="A7782" s="4">
        <v>7777</v>
      </c>
      <c r="B7782" s="3" t="str">
        <f>"00653636"</f>
        <v>00653636</v>
      </c>
    </row>
    <row r="7783" spans="1:2" x14ac:dyDescent="0.25">
      <c r="A7783" s="4">
        <v>7778</v>
      </c>
      <c r="B7783" s="3" t="str">
        <f>"00653699"</f>
        <v>00653699</v>
      </c>
    </row>
    <row r="7784" spans="1:2" x14ac:dyDescent="0.25">
      <c r="A7784" s="4">
        <v>7779</v>
      </c>
      <c r="B7784" s="3" t="str">
        <f>"00653784"</f>
        <v>00653784</v>
      </c>
    </row>
    <row r="7785" spans="1:2" x14ac:dyDescent="0.25">
      <c r="A7785" s="4">
        <v>7780</v>
      </c>
      <c r="B7785" s="3" t="str">
        <f>"00653795"</f>
        <v>00653795</v>
      </c>
    </row>
    <row r="7786" spans="1:2" x14ac:dyDescent="0.25">
      <c r="A7786" s="4">
        <v>7781</v>
      </c>
      <c r="B7786" s="3" t="str">
        <f>"00653891"</f>
        <v>00653891</v>
      </c>
    </row>
    <row r="7787" spans="1:2" x14ac:dyDescent="0.25">
      <c r="A7787" s="4">
        <v>7782</v>
      </c>
      <c r="B7787" s="3" t="str">
        <f>"00653897"</f>
        <v>00653897</v>
      </c>
    </row>
    <row r="7788" spans="1:2" x14ac:dyDescent="0.25">
      <c r="A7788" s="4">
        <v>7783</v>
      </c>
      <c r="B7788" s="3" t="str">
        <f>"00653940"</f>
        <v>00653940</v>
      </c>
    </row>
    <row r="7789" spans="1:2" x14ac:dyDescent="0.25">
      <c r="A7789" s="4">
        <v>7784</v>
      </c>
      <c r="B7789" s="3" t="str">
        <f>"00653972"</f>
        <v>00653972</v>
      </c>
    </row>
    <row r="7790" spans="1:2" x14ac:dyDescent="0.25">
      <c r="A7790" s="4">
        <v>7785</v>
      </c>
      <c r="B7790" s="3" t="str">
        <f>"00654176"</f>
        <v>00654176</v>
      </c>
    </row>
    <row r="7791" spans="1:2" x14ac:dyDescent="0.25">
      <c r="A7791" s="4">
        <v>7786</v>
      </c>
      <c r="B7791" s="3" t="str">
        <f>"00654206"</f>
        <v>00654206</v>
      </c>
    </row>
    <row r="7792" spans="1:2" x14ac:dyDescent="0.25">
      <c r="A7792" s="4">
        <v>7787</v>
      </c>
      <c r="B7792" s="3" t="str">
        <f>"00654268"</f>
        <v>00654268</v>
      </c>
    </row>
    <row r="7793" spans="1:2" x14ac:dyDescent="0.25">
      <c r="A7793" s="4">
        <v>7788</v>
      </c>
      <c r="B7793" s="3" t="str">
        <f>"00654497"</f>
        <v>00654497</v>
      </c>
    </row>
    <row r="7794" spans="1:2" x14ac:dyDescent="0.25">
      <c r="A7794" s="4">
        <v>7789</v>
      </c>
      <c r="B7794" s="3" t="str">
        <f>"00654544"</f>
        <v>00654544</v>
      </c>
    </row>
    <row r="7795" spans="1:2" x14ac:dyDescent="0.25">
      <c r="A7795" s="4">
        <v>7790</v>
      </c>
      <c r="B7795" s="3" t="str">
        <f>"00654587"</f>
        <v>00654587</v>
      </c>
    </row>
    <row r="7796" spans="1:2" x14ac:dyDescent="0.25">
      <c r="A7796" s="4">
        <v>7791</v>
      </c>
      <c r="B7796" s="3" t="str">
        <f>"00654616"</f>
        <v>00654616</v>
      </c>
    </row>
    <row r="7797" spans="1:2" x14ac:dyDescent="0.25">
      <c r="A7797" s="4">
        <v>7792</v>
      </c>
      <c r="B7797" s="3" t="str">
        <f>"00654649"</f>
        <v>00654649</v>
      </c>
    </row>
    <row r="7798" spans="1:2" x14ac:dyDescent="0.25">
      <c r="A7798" s="4">
        <v>7793</v>
      </c>
      <c r="B7798" s="3" t="str">
        <f>"00654751"</f>
        <v>00654751</v>
      </c>
    </row>
    <row r="7799" spans="1:2" x14ac:dyDescent="0.25">
      <c r="A7799" s="4">
        <v>7794</v>
      </c>
      <c r="B7799" s="3" t="str">
        <f>"00654766"</f>
        <v>00654766</v>
      </c>
    </row>
    <row r="7800" spans="1:2" x14ac:dyDescent="0.25">
      <c r="A7800" s="4">
        <v>7795</v>
      </c>
      <c r="B7800" s="3" t="str">
        <f>"00654989"</f>
        <v>00654989</v>
      </c>
    </row>
    <row r="7801" spans="1:2" x14ac:dyDescent="0.25">
      <c r="A7801" s="4">
        <v>7796</v>
      </c>
      <c r="B7801" s="3" t="str">
        <f>"00655003"</f>
        <v>00655003</v>
      </c>
    </row>
    <row r="7802" spans="1:2" x14ac:dyDescent="0.25">
      <c r="A7802" s="4">
        <v>7797</v>
      </c>
      <c r="B7802" s="3" t="str">
        <f>"00655012"</f>
        <v>00655012</v>
      </c>
    </row>
    <row r="7803" spans="1:2" x14ac:dyDescent="0.25">
      <c r="A7803" s="4">
        <v>7798</v>
      </c>
      <c r="B7803" s="3" t="str">
        <f>"00655040"</f>
        <v>00655040</v>
      </c>
    </row>
    <row r="7804" spans="1:2" x14ac:dyDescent="0.25">
      <c r="A7804" s="4">
        <v>7799</v>
      </c>
      <c r="B7804" s="3" t="str">
        <f>"00655065"</f>
        <v>00655065</v>
      </c>
    </row>
    <row r="7805" spans="1:2" x14ac:dyDescent="0.25">
      <c r="A7805" s="4">
        <v>7800</v>
      </c>
      <c r="B7805" s="3" t="str">
        <f>"00655086"</f>
        <v>00655086</v>
      </c>
    </row>
    <row r="7806" spans="1:2" x14ac:dyDescent="0.25">
      <c r="A7806" s="4">
        <v>7801</v>
      </c>
      <c r="B7806" s="3" t="str">
        <f>"00655094"</f>
        <v>00655094</v>
      </c>
    </row>
    <row r="7807" spans="1:2" x14ac:dyDescent="0.25">
      <c r="A7807" s="4">
        <v>7802</v>
      </c>
      <c r="B7807" s="3" t="str">
        <f>"00655151"</f>
        <v>00655151</v>
      </c>
    </row>
    <row r="7808" spans="1:2" x14ac:dyDescent="0.25">
      <c r="A7808" s="4">
        <v>7803</v>
      </c>
      <c r="B7808" s="3" t="str">
        <f>"00655190"</f>
        <v>00655190</v>
      </c>
    </row>
    <row r="7809" spans="1:2" x14ac:dyDescent="0.25">
      <c r="A7809" s="4">
        <v>7804</v>
      </c>
      <c r="B7809" s="3" t="str">
        <f>"00655210"</f>
        <v>00655210</v>
      </c>
    </row>
    <row r="7810" spans="1:2" x14ac:dyDescent="0.25">
      <c r="A7810" s="4">
        <v>7805</v>
      </c>
      <c r="B7810" s="3" t="str">
        <f>"00655211"</f>
        <v>00655211</v>
      </c>
    </row>
    <row r="7811" spans="1:2" x14ac:dyDescent="0.25">
      <c r="A7811" s="4">
        <v>7806</v>
      </c>
      <c r="B7811" s="3" t="str">
        <f>"00655255"</f>
        <v>00655255</v>
      </c>
    </row>
    <row r="7812" spans="1:2" x14ac:dyDescent="0.25">
      <c r="A7812" s="4">
        <v>7807</v>
      </c>
      <c r="B7812" s="3" t="str">
        <f>"00655268"</f>
        <v>00655268</v>
      </c>
    </row>
    <row r="7813" spans="1:2" x14ac:dyDescent="0.25">
      <c r="A7813" s="4">
        <v>7808</v>
      </c>
      <c r="B7813" s="3" t="str">
        <f>"00655387"</f>
        <v>00655387</v>
      </c>
    </row>
    <row r="7814" spans="1:2" x14ac:dyDescent="0.25">
      <c r="A7814" s="4">
        <v>7809</v>
      </c>
      <c r="B7814" s="3" t="str">
        <f>"00655444"</f>
        <v>00655444</v>
      </c>
    </row>
    <row r="7815" spans="1:2" x14ac:dyDescent="0.25">
      <c r="A7815" s="4">
        <v>7810</v>
      </c>
      <c r="B7815" s="3" t="str">
        <f>"00655501"</f>
        <v>00655501</v>
      </c>
    </row>
    <row r="7816" spans="1:2" x14ac:dyDescent="0.25">
      <c r="A7816" s="4">
        <v>7811</v>
      </c>
      <c r="B7816" s="3" t="str">
        <f>"00655510"</f>
        <v>00655510</v>
      </c>
    </row>
    <row r="7817" spans="1:2" x14ac:dyDescent="0.25">
      <c r="A7817" s="4">
        <v>7812</v>
      </c>
      <c r="B7817" s="3" t="str">
        <f>"00655608"</f>
        <v>00655608</v>
      </c>
    </row>
    <row r="7818" spans="1:2" x14ac:dyDescent="0.25">
      <c r="A7818" s="4">
        <v>7813</v>
      </c>
      <c r="B7818" s="3" t="str">
        <f>"00655702"</f>
        <v>00655702</v>
      </c>
    </row>
    <row r="7819" spans="1:2" x14ac:dyDescent="0.25">
      <c r="A7819" s="4">
        <v>7814</v>
      </c>
      <c r="B7819" s="3" t="str">
        <f>"00656020"</f>
        <v>00656020</v>
      </c>
    </row>
    <row r="7820" spans="1:2" x14ac:dyDescent="0.25">
      <c r="A7820" s="4">
        <v>7815</v>
      </c>
      <c r="B7820" s="3" t="str">
        <f>"00656024"</f>
        <v>00656024</v>
      </c>
    </row>
    <row r="7821" spans="1:2" x14ac:dyDescent="0.25">
      <c r="A7821" s="4">
        <v>7816</v>
      </c>
      <c r="B7821" s="3" t="str">
        <f>"00656095"</f>
        <v>00656095</v>
      </c>
    </row>
    <row r="7822" spans="1:2" x14ac:dyDescent="0.25">
      <c r="A7822" s="4">
        <v>7817</v>
      </c>
      <c r="B7822" s="3" t="str">
        <f>"00656147"</f>
        <v>00656147</v>
      </c>
    </row>
    <row r="7823" spans="1:2" x14ac:dyDescent="0.25">
      <c r="A7823" s="4">
        <v>7818</v>
      </c>
      <c r="B7823" s="3" t="str">
        <f>"00656151"</f>
        <v>00656151</v>
      </c>
    </row>
    <row r="7824" spans="1:2" x14ac:dyDescent="0.25">
      <c r="A7824" s="4">
        <v>7819</v>
      </c>
      <c r="B7824" s="3" t="str">
        <f>"00656205"</f>
        <v>00656205</v>
      </c>
    </row>
    <row r="7825" spans="1:2" x14ac:dyDescent="0.25">
      <c r="A7825" s="4">
        <v>7820</v>
      </c>
      <c r="B7825" s="3" t="str">
        <f>"00656326"</f>
        <v>00656326</v>
      </c>
    </row>
    <row r="7826" spans="1:2" x14ac:dyDescent="0.25">
      <c r="A7826" s="4">
        <v>7821</v>
      </c>
      <c r="B7826" s="3" t="str">
        <f>"00656435"</f>
        <v>00656435</v>
      </c>
    </row>
    <row r="7827" spans="1:2" x14ac:dyDescent="0.25">
      <c r="A7827" s="4">
        <v>7822</v>
      </c>
      <c r="B7827" s="3" t="str">
        <f>"00656509"</f>
        <v>00656509</v>
      </c>
    </row>
    <row r="7828" spans="1:2" x14ac:dyDescent="0.25">
      <c r="A7828" s="4">
        <v>7823</v>
      </c>
      <c r="B7828" s="3" t="str">
        <f>"00656576"</f>
        <v>00656576</v>
      </c>
    </row>
    <row r="7829" spans="1:2" x14ac:dyDescent="0.25">
      <c r="A7829" s="4">
        <v>7824</v>
      </c>
      <c r="B7829" s="3" t="str">
        <f>"00656612"</f>
        <v>00656612</v>
      </c>
    </row>
    <row r="7830" spans="1:2" x14ac:dyDescent="0.25">
      <c r="A7830" s="4">
        <v>7825</v>
      </c>
      <c r="B7830" s="3" t="str">
        <f>"00656686"</f>
        <v>00656686</v>
      </c>
    </row>
    <row r="7831" spans="1:2" x14ac:dyDescent="0.25">
      <c r="A7831" s="4">
        <v>7826</v>
      </c>
      <c r="B7831" s="3" t="str">
        <f>"00656776"</f>
        <v>00656776</v>
      </c>
    </row>
    <row r="7832" spans="1:2" x14ac:dyDescent="0.25">
      <c r="A7832" s="4">
        <v>7827</v>
      </c>
      <c r="B7832" s="3" t="str">
        <f>"00656830"</f>
        <v>00656830</v>
      </c>
    </row>
    <row r="7833" spans="1:2" x14ac:dyDescent="0.25">
      <c r="A7833" s="4">
        <v>7828</v>
      </c>
      <c r="B7833" s="3" t="str">
        <f>"00656845"</f>
        <v>00656845</v>
      </c>
    </row>
    <row r="7834" spans="1:2" x14ac:dyDescent="0.25">
      <c r="A7834" s="4">
        <v>7829</v>
      </c>
      <c r="B7834" s="3" t="str">
        <f>"00656961"</f>
        <v>00656961</v>
      </c>
    </row>
    <row r="7835" spans="1:2" x14ac:dyDescent="0.25">
      <c r="A7835" s="4">
        <v>7830</v>
      </c>
      <c r="B7835" s="3" t="str">
        <f>"00657084"</f>
        <v>00657084</v>
      </c>
    </row>
    <row r="7836" spans="1:2" x14ac:dyDescent="0.25">
      <c r="A7836" s="4">
        <v>7831</v>
      </c>
      <c r="B7836" s="3" t="str">
        <f>"00657182"</f>
        <v>00657182</v>
      </c>
    </row>
    <row r="7837" spans="1:2" x14ac:dyDescent="0.25">
      <c r="A7837" s="4">
        <v>7832</v>
      </c>
      <c r="B7837" s="3" t="str">
        <f>"00657316"</f>
        <v>00657316</v>
      </c>
    </row>
    <row r="7838" spans="1:2" x14ac:dyDescent="0.25">
      <c r="A7838" s="4">
        <v>7833</v>
      </c>
      <c r="B7838" s="3" t="str">
        <f>"00657468"</f>
        <v>00657468</v>
      </c>
    </row>
    <row r="7839" spans="1:2" x14ac:dyDescent="0.25">
      <c r="A7839" s="4">
        <v>7834</v>
      </c>
      <c r="B7839" s="3" t="str">
        <f>"00657503"</f>
        <v>00657503</v>
      </c>
    </row>
    <row r="7840" spans="1:2" x14ac:dyDescent="0.25">
      <c r="A7840" s="4">
        <v>7835</v>
      </c>
      <c r="B7840" s="3" t="str">
        <f>"00657529"</f>
        <v>00657529</v>
      </c>
    </row>
    <row r="7841" spans="1:2" x14ac:dyDescent="0.25">
      <c r="A7841" s="4">
        <v>7836</v>
      </c>
      <c r="B7841" s="3" t="str">
        <f>"00657640"</f>
        <v>00657640</v>
      </c>
    </row>
    <row r="7842" spans="1:2" x14ac:dyDescent="0.25">
      <c r="A7842" s="4">
        <v>7837</v>
      </c>
      <c r="B7842" s="3" t="str">
        <f>"00657795"</f>
        <v>00657795</v>
      </c>
    </row>
    <row r="7843" spans="1:2" x14ac:dyDescent="0.25">
      <c r="A7843" s="4">
        <v>7838</v>
      </c>
      <c r="B7843" s="3" t="str">
        <f>"00657905"</f>
        <v>00657905</v>
      </c>
    </row>
    <row r="7844" spans="1:2" x14ac:dyDescent="0.25">
      <c r="A7844" s="4">
        <v>7839</v>
      </c>
      <c r="B7844" s="3" t="str">
        <f>"00657934"</f>
        <v>00657934</v>
      </c>
    </row>
    <row r="7845" spans="1:2" x14ac:dyDescent="0.25">
      <c r="A7845" s="4">
        <v>7840</v>
      </c>
      <c r="B7845" s="3" t="str">
        <f>"00657935"</f>
        <v>00657935</v>
      </c>
    </row>
    <row r="7846" spans="1:2" x14ac:dyDescent="0.25">
      <c r="A7846" s="4">
        <v>7841</v>
      </c>
      <c r="B7846" s="3" t="str">
        <f>"00658025"</f>
        <v>00658025</v>
      </c>
    </row>
    <row r="7847" spans="1:2" x14ac:dyDescent="0.25">
      <c r="A7847" s="4">
        <v>7842</v>
      </c>
      <c r="B7847" s="3" t="str">
        <f>"00658057"</f>
        <v>00658057</v>
      </c>
    </row>
    <row r="7848" spans="1:2" x14ac:dyDescent="0.25">
      <c r="A7848" s="4">
        <v>7843</v>
      </c>
      <c r="B7848" s="3" t="str">
        <f>"00658084"</f>
        <v>00658084</v>
      </c>
    </row>
    <row r="7849" spans="1:2" x14ac:dyDescent="0.25">
      <c r="A7849" s="4">
        <v>7844</v>
      </c>
      <c r="B7849" s="3" t="str">
        <f>"00658087"</f>
        <v>00658087</v>
      </c>
    </row>
    <row r="7850" spans="1:2" x14ac:dyDescent="0.25">
      <c r="A7850" s="4">
        <v>7845</v>
      </c>
      <c r="B7850" s="3" t="str">
        <f>"00658184"</f>
        <v>00658184</v>
      </c>
    </row>
    <row r="7851" spans="1:2" x14ac:dyDescent="0.25">
      <c r="A7851" s="4">
        <v>7846</v>
      </c>
      <c r="B7851" s="3" t="str">
        <f>"00658192"</f>
        <v>00658192</v>
      </c>
    </row>
    <row r="7852" spans="1:2" x14ac:dyDescent="0.25">
      <c r="A7852" s="4">
        <v>7847</v>
      </c>
      <c r="B7852" s="3" t="str">
        <f>"00658198"</f>
        <v>00658198</v>
      </c>
    </row>
    <row r="7853" spans="1:2" x14ac:dyDescent="0.25">
      <c r="A7853" s="4">
        <v>7848</v>
      </c>
      <c r="B7853" s="3" t="str">
        <f>"00658318"</f>
        <v>00658318</v>
      </c>
    </row>
    <row r="7854" spans="1:2" x14ac:dyDescent="0.25">
      <c r="A7854" s="4">
        <v>7849</v>
      </c>
      <c r="B7854" s="3" t="str">
        <f>"00658338"</f>
        <v>00658338</v>
      </c>
    </row>
    <row r="7855" spans="1:2" x14ac:dyDescent="0.25">
      <c r="A7855" s="4">
        <v>7850</v>
      </c>
      <c r="B7855" s="3" t="str">
        <f>"00658344"</f>
        <v>00658344</v>
      </c>
    </row>
    <row r="7856" spans="1:2" x14ac:dyDescent="0.25">
      <c r="A7856" s="4">
        <v>7851</v>
      </c>
      <c r="B7856" s="3" t="str">
        <f>"00658350"</f>
        <v>00658350</v>
      </c>
    </row>
    <row r="7857" spans="1:2" x14ac:dyDescent="0.25">
      <c r="A7857" s="4">
        <v>7852</v>
      </c>
      <c r="B7857" s="3" t="str">
        <f>"00658390"</f>
        <v>00658390</v>
      </c>
    </row>
    <row r="7858" spans="1:2" x14ac:dyDescent="0.25">
      <c r="A7858" s="4">
        <v>7853</v>
      </c>
      <c r="B7858" s="3" t="str">
        <f>"00658515"</f>
        <v>00658515</v>
      </c>
    </row>
    <row r="7859" spans="1:2" x14ac:dyDescent="0.25">
      <c r="A7859" s="4">
        <v>7854</v>
      </c>
      <c r="B7859" s="3" t="str">
        <f>"00658721"</f>
        <v>00658721</v>
      </c>
    </row>
    <row r="7860" spans="1:2" x14ac:dyDescent="0.25">
      <c r="A7860" s="4">
        <v>7855</v>
      </c>
      <c r="B7860" s="3" t="str">
        <f>"00658749"</f>
        <v>00658749</v>
      </c>
    </row>
    <row r="7861" spans="1:2" x14ac:dyDescent="0.25">
      <c r="A7861" s="4">
        <v>7856</v>
      </c>
      <c r="B7861" s="3" t="str">
        <f>"00658754"</f>
        <v>00658754</v>
      </c>
    </row>
    <row r="7862" spans="1:2" x14ac:dyDescent="0.25">
      <c r="A7862" s="4">
        <v>7857</v>
      </c>
      <c r="B7862" s="3" t="str">
        <f>"00658786"</f>
        <v>00658786</v>
      </c>
    </row>
    <row r="7863" spans="1:2" x14ac:dyDescent="0.25">
      <c r="A7863" s="4">
        <v>7858</v>
      </c>
      <c r="B7863" s="3" t="str">
        <f>"00658795"</f>
        <v>00658795</v>
      </c>
    </row>
    <row r="7864" spans="1:2" x14ac:dyDescent="0.25">
      <c r="A7864" s="4">
        <v>7859</v>
      </c>
      <c r="B7864" s="3" t="str">
        <f>"00658850"</f>
        <v>00658850</v>
      </c>
    </row>
    <row r="7865" spans="1:2" x14ac:dyDescent="0.25">
      <c r="A7865" s="4">
        <v>7860</v>
      </c>
      <c r="B7865" s="3" t="str">
        <f>"00658859"</f>
        <v>00658859</v>
      </c>
    </row>
    <row r="7866" spans="1:2" x14ac:dyDescent="0.25">
      <c r="A7866" s="4">
        <v>7861</v>
      </c>
      <c r="B7866" s="3" t="str">
        <f>"00658861"</f>
        <v>00658861</v>
      </c>
    </row>
    <row r="7867" spans="1:2" x14ac:dyDescent="0.25">
      <c r="A7867" s="4">
        <v>7862</v>
      </c>
      <c r="B7867" s="3" t="str">
        <f>"00658877"</f>
        <v>00658877</v>
      </c>
    </row>
    <row r="7868" spans="1:2" x14ac:dyDescent="0.25">
      <c r="A7868" s="4">
        <v>7863</v>
      </c>
      <c r="B7868" s="3" t="str">
        <f>"00658942"</f>
        <v>00658942</v>
      </c>
    </row>
    <row r="7869" spans="1:2" x14ac:dyDescent="0.25">
      <c r="A7869" s="4">
        <v>7864</v>
      </c>
      <c r="B7869" s="3" t="str">
        <f>"00658965"</f>
        <v>00658965</v>
      </c>
    </row>
    <row r="7870" spans="1:2" x14ac:dyDescent="0.25">
      <c r="A7870" s="4">
        <v>7865</v>
      </c>
      <c r="B7870" s="3" t="str">
        <f>"00658970"</f>
        <v>00658970</v>
      </c>
    </row>
    <row r="7871" spans="1:2" x14ac:dyDescent="0.25">
      <c r="A7871" s="4">
        <v>7866</v>
      </c>
      <c r="B7871" s="3" t="str">
        <f>"00658979"</f>
        <v>00658979</v>
      </c>
    </row>
    <row r="7872" spans="1:2" x14ac:dyDescent="0.25">
      <c r="A7872" s="4">
        <v>7867</v>
      </c>
      <c r="B7872" s="3" t="str">
        <f>"00658995"</f>
        <v>00658995</v>
      </c>
    </row>
    <row r="7873" spans="1:2" x14ac:dyDescent="0.25">
      <c r="A7873" s="4">
        <v>7868</v>
      </c>
      <c r="B7873" s="3" t="str">
        <f>"00659020"</f>
        <v>00659020</v>
      </c>
    </row>
    <row r="7874" spans="1:2" x14ac:dyDescent="0.25">
      <c r="A7874" s="4">
        <v>7869</v>
      </c>
      <c r="B7874" s="3" t="str">
        <f>"00659030"</f>
        <v>00659030</v>
      </c>
    </row>
    <row r="7875" spans="1:2" x14ac:dyDescent="0.25">
      <c r="A7875" s="4">
        <v>7870</v>
      </c>
      <c r="B7875" s="3" t="str">
        <f>"00659082"</f>
        <v>00659082</v>
      </c>
    </row>
    <row r="7876" spans="1:2" x14ac:dyDescent="0.25">
      <c r="A7876" s="4">
        <v>7871</v>
      </c>
      <c r="B7876" s="3" t="str">
        <f>"00659096"</f>
        <v>00659096</v>
      </c>
    </row>
    <row r="7877" spans="1:2" x14ac:dyDescent="0.25">
      <c r="A7877" s="4">
        <v>7872</v>
      </c>
      <c r="B7877" s="3" t="str">
        <f>"00659118"</f>
        <v>00659118</v>
      </c>
    </row>
    <row r="7878" spans="1:2" x14ac:dyDescent="0.25">
      <c r="A7878" s="4">
        <v>7873</v>
      </c>
      <c r="B7878" s="3" t="str">
        <f>"00659141"</f>
        <v>00659141</v>
      </c>
    </row>
    <row r="7879" spans="1:2" x14ac:dyDescent="0.25">
      <c r="A7879" s="4">
        <v>7874</v>
      </c>
      <c r="B7879" s="3" t="str">
        <f>"00659144"</f>
        <v>00659144</v>
      </c>
    </row>
    <row r="7880" spans="1:2" x14ac:dyDescent="0.25">
      <c r="A7880" s="4">
        <v>7875</v>
      </c>
      <c r="B7880" s="3" t="str">
        <f>"00659150"</f>
        <v>00659150</v>
      </c>
    </row>
    <row r="7881" spans="1:2" x14ac:dyDescent="0.25">
      <c r="A7881" s="4">
        <v>7876</v>
      </c>
      <c r="B7881" s="3" t="str">
        <f>"00659157"</f>
        <v>00659157</v>
      </c>
    </row>
    <row r="7882" spans="1:2" x14ac:dyDescent="0.25">
      <c r="A7882" s="4">
        <v>7877</v>
      </c>
      <c r="B7882" s="3" t="str">
        <f>"00659183"</f>
        <v>00659183</v>
      </c>
    </row>
    <row r="7883" spans="1:2" x14ac:dyDescent="0.25">
      <c r="A7883" s="4">
        <v>7878</v>
      </c>
      <c r="B7883" s="3" t="str">
        <f>"00659198"</f>
        <v>00659198</v>
      </c>
    </row>
    <row r="7884" spans="1:2" x14ac:dyDescent="0.25">
      <c r="A7884" s="4">
        <v>7879</v>
      </c>
      <c r="B7884" s="3" t="str">
        <f>"00659206"</f>
        <v>00659206</v>
      </c>
    </row>
    <row r="7885" spans="1:2" x14ac:dyDescent="0.25">
      <c r="A7885" s="4">
        <v>7880</v>
      </c>
      <c r="B7885" s="3" t="str">
        <f>"00659227"</f>
        <v>00659227</v>
      </c>
    </row>
    <row r="7886" spans="1:2" x14ac:dyDescent="0.25">
      <c r="A7886" s="4">
        <v>7881</v>
      </c>
      <c r="B7886" s="3" t="str">
        <f>"00659229"</f>
        <v>00659229</v>
      </c>
    </row>
    <row r="7887" spans="1:2" x14ac:dyDescent="0.25">
      <c r="A7887" s="4">
        <v>7882</v>
      </c>
      <c r="B7887" s="3" t="str">
        <f>"00659236"</f>
        <v>00659236</v>
      </c>
    </row>
    <row r="7888" spans="1:2" x14ac:dyDescent="0.25">
      <c r="A7888" s="4">
        <v>7883</v>
      </c>
      <c r="B7888" s="3" t="str">
        <f>"00659242"</f>
        <v>00659242</v>
      </c>
    </row>
    <row r="7889" spans="1:2" x14ac:dyDescent="0.25">
      <c r="A7889" s="4">
        <v>7884</v>
      </c>
      <c r="B7889" s="3" t="str">
        <f>"00659245"</f>
        <v>00659245</v>
      </c>
    </row>
    <row r="7890" spans="1:2" x14ac:dyDescent="0.25">
      <c r="A7890" s="4">
        <v>7885</v>
      </c>
      <c r="B7890" s="3" t="str">
        <f>"00659252"</f>
        <v>00659252</v>
      </c>
    </row>
    <row r="7891" spans="1:2" x14ac:dyDescent="0.25">
      <c r="A7891" s="4">
        <v>7886</v>
      </c>
      <c r="B7891" s="3" t="str">
        <f>"00659253"</f>
        <v>00659253</v>
      </c>
    </row>
    <row r="7892" spans="1:2" x14ac:dyDescent="0.25">
      <c r="A7892" s="4">
        <v>7887</v>
      </c>
      <c r="B7892" s="3" t="str">
        <f>"00659264"</f>
        <v>00659264</v>
      </c>
    </row>
    <row r="7893" spans="1:2" x14ac:dyDescent="0.25">
      <c r="A7893" s="4">
        <v>7888</v>
      </c>
      <c r="B7893" s="3" t="str">
        <f>"00659265"</f>
        <v>00659265</v>
      </c>
    </row>
    <row r="7894" spans="1:2" x14ac:dyDescent="0.25">
      <c r="A7894" s="4">
        <v>7889</v>
      </c>
      <c r="B7894" s="3" t="str">
        <f>"00659266"</f>
        <v>00659266</v>
      </c>
    </row>
    <row r="7895" spans="1:2" x14ac:dyDescent="0.25">
      <c r="A7895" s="4">
        <v>7890</v>
      </c>
      <c r="B7895" s="3" t="str">
        <f>"00659326"</f>
        <v>00659326</v>
      </c>
    </row>
    <row r="7896" spans="1:2" x14ac:dyDescent="0.25">
      <c r="A7896" s="4">
        <v>7891</v>
      </c>
      <c r="B7896" s="3" t="str">
        <f>"00659350"</f>
        <v>00659350</v>
      </c>
    </row>
    <row r="7897" spans="1:2" x14ac:dyDescent="0.25">
      <c r="A7897" s="4">
        <v>7892</v>
      </c>
      <c r="B7897" s="3" t="str">
        <f>"00659364"</f>
        <v>00659364</v>
      </c>
    </row>
    <row r="7898" spans="1:2" x14ac:dyDescent="0.25">
      <c r="A7898" s="4">
        <v>7893</v>
      </c>
      <c r="B7898" s="3" t="str">
        <f>"00659371"</f>
        <v>00659371</v>
      </c>
    </row>
    <row r="7899" spans="1:2" x14ac:dyDescent="0.25">
      <c r="A7899" s="4">
        <v>7894</v>
      </c>
      <c r="B7899" s="3" t="str">
        <f>"00659401"</f>
        <v>00659401</v>
      </c>
    </row>
    <row r="7900" spans="1:2" x14ac:dyDescent="0.25">
      <c r="A7900" s="4">
        <v>7895</v>
      </c>
      <c r="B7900" s="3" t="str">
        <f>"00659430"</f>
        <v>00659430</v>
      </c>
    </row>
    <row r="7901" spans="1:2" x14ac:dyDescent="0.25">
      <c r="A7901" s="4">
        <v>7896</v>
      </c>
      <c r="B7901" s="3" t="str">
        <f>"00659438"</f>
        <v>00659438</v>
      </c>
    </row>
    <row r="7902" spans="1:2" x14ac:dyDescent="0.25">
      <c r="A7902" s="4">
        <v>7897</v>
      </c>
      <c r="B7902" s="3" t="str">
        <f>"00659454"</f>
        <v>00659454</v>
      </c>
    </row>
    <row r="7903" spans="1:2" x14ac:dyDescent="0.25">
      <c r="A7903" s="4">
        <v>7898</v>
      </c>
      <c r="B7903" s="3" t="str">
        <f>"00659460"</f>
        <v>00659460</v>
      </c>
    </row>
    <row r="7904" spans="1:2" x14ac:dyDescent="0.25">
      <c r="A7904" s="4">
        <v>7899</v>
      </c>
      <c r="B7904" s="3" t="str">
        <f>"00659463"</f>
        <v>00659463</v>
      </c>
    </row>
    <row r="7905" spans="1:2" x14ac:dyDescent="0.25">
      <c r="A7905" s="4">
        <v>7900</v>
      </c>
      <c r="B7905" s="3" t="str">
        <f>"00659487"</f>
        <v>00659487</v>
      </c>
    </row>
    <row r="7906" spans="1:2" x14ac:dyDescent="0.25">
      <c r="A7906" s="4">
        <v>7901</v>
      </c>
      <c r="B7906" s="3" t="str">
        <f>"00659488"</f>
        <v>00659488</v>
      </c>
    </row>
    <row r="7907" spans="1:2" x14ac:dyDescent="0.25">
      <c r="A7907" s="4">
        <v>7902</v>
      </c>
      <c r="B7907" s="3" t="str">
        <f>"00659493"</f>
        <v>00659493</v>
      </c>
    </row>
    <row r="7908" spans="1:2" x14ac:dyDescent="0.25">
      <c r="A7908" s="4">
        <v>7903</v>
      </c>
      <c r="B7908" s="3" t="str">
        <f>"00659548"</f>
        <v>00659548</v>
      </c>
    </row>
    <row r="7909" spans="1:2" x14ac:dyDescent="0.25">
      <c r="A7909" s="4">
        <v>7904</v>
      </c>
      <c r="B7909" s="3" t="str">
        <f>"00659571"</f>
        <v>00659571</v>
      </c>
    </row>
    <row r="7910" spans="1:2" x14ac:dyDescent="0.25">
      <c r="A7910" s="4">
        <v>7905</v>
      </c>
      <c r="B7910" s="3" t="str">
        <f>"00659572"</f>
        <v>00659572</v>
      </c>
    </row>
    <row r="7911" spans="1:2" x14ac:dyDescent="0.25">
      <c r="A7911" s="4">
        <v>7906</v>
      </c>
      <c r="B7911" s="3" t="str">
        <f>"00659600"</f>
        <v>00659600</v>
      </c>
    </row>
    <row r="7912" spans="1:2" x14ac:dyDescent="0.25">
      <c r="A7912" s="4">
        <v>7907</v>
      </c>
      <c r="B7912" s="3" t="str">
        <f>"00659606"</f>
        <v>00659606</v>
      </c>
    </row>
    <row r="7913" spans="1:2" x14ac:dyDescent="0.25">
      <c r="A7913" s="4">
        <v>7908</v>
      </c>
      <c r="B7913" s="3" t="str">
        <f>"00659621"</f>
        <v>00659621</v>
      </c>
    </row>
    <row r="7914" spans="1:2" x14ac:dyDescent="0.25">
      <c r="A7914" s="4">
        <v>7909</v>
      </c>
      <c r="B7914" s="3" t="str">
        <f>"00659635"</f>
        <v>00659635</v>
      </c>
    </row>
    <row r="7915" spans="1:2" x14ac:dyDescent="0.25">
      <c r="A7915" s="4">
        <v>7910</v>
      </c>
      <c r="B7915" s="3" t="str">
        <f>"00659639"</f>
        <v>00659639</v>
      </c>
    </row>
    <row r="7916" spans="1:2" x14ac:dyDescent="0.25">
      <c r="A7916" s="4">
        <v>7911</v>
      </c>
      <c r="B7916" s="3" t="str">
        <f>"00659653"</f>
        <v>00659653</v>
      </c>
    </row>
    <row r="7917" spans="1:2" x14ac:dyDescent="0.25">
      <c r="A7917" s="4">
        <v>7912</v>
      </c>
      <c r="B7917" s="3" t="str">
        <f>"00659655"</f>
        <v>00659655</v>
      </c>
    </row>
    <row r="7918" spans="1:2" x14ac:dyDescent="0.25">
      <c r="A7918" s="4">
        <v>7913</v>
      </c>
      <c r="B7918" s="3" t="str">
        <f>"00659661"</f>
        <v>00659661</v>
      </c>
    </row>
    <row r="7919" spans="1:2" x14ac:dyDescent="0.25">
      <c r="A7919" s="4">
        <v>7914</v>
      </c>
      <c r="B7919" s="3" t="str">
        <f>"00659692"</f>
        <v>00659692</v>
      </c>
    </row>
    <row r="7920" spans="1:2" x14ac:dyDescent="0.25">
      <c r="A7920" s="4">
        <v>7915</v>
      </c>
      <c r="B7920" s="3" t="str">
        <f>"00659715"</f>
        <v>00659715</v>
      </c>
    </row>
    <row r="7921" spans="1:2" x14ac:dyDescent="0.25">
      <c r="A7921" s="4">
        <v>7916</v>
      </c>
      <c r="B7921" s="3" t="str">
        <f>"00659726"</f>
        <v>00659726</v>
      </c>
    </row>
    <row r="7922" spans="1:2" x14ac:dyDescent="0.25">
      <c r="A7922" s="4">
        <v>7917</v>
      </c>
      <c r="B7922" s="3" t="str">
        <f>"00659730"</f>
        <v>00659730</v>
      </c>
    </row>
    <row r="7923" spans="1:2" x14ac:dyDescent="0.25">
      <c r="A7923" s="4">
        <v>7918</v>
      </c>
      <c r="B7923" s="3" t="str">
        <f>"00659731"</f>
        <v>00659731</v>
      </c>
    </row>
    <row r="7924" spans="1:2" x14ac:dyDescent="0.25">
      <c r="A7924" s="4">
        <v>7919</v>
      </c>
      <c r="B7924" s="3" t="str">
        <f>"00659780"</f>
        <v>00659780</v>
      </c>
    </row>
    <row r="7925" spans="1:2" x14ac:dyDescent="0.25">
      <c r="A7925" s="4">
        <v>7920</v>
      </c>
      <c r="B7925" s="3" t="str">
        <f>"00659797"</f>
        <v>00659797</v>
      </c>
    </row>
    <row r="7926" spans="1:2" x14ac:dyDescent="0.25">
      <c r="A7926" s="4">
        <v>7921</v>
      </c>
      <c r="B7926" s="3" t="str">
        <f>"00659798"</f>
        <v>00659798</v>
      </c>
    </row>
    <row r="7927" spans="1:2" x14ac:dyDescent="0.25">
      <c r="A7927" s="4">
        <v>7922</v>
      </c>
      <c r="B7927" s="3" t="str">
        <f>"00659799"</f>
        <v>00659799</v>
      </c>
    </row>
    <row r="7928" spans="1:2" x14ac:dyDescent="0.25">
      <c r="A7928" s="4">
        <v>7923</v>
      </c>
      <c r="B7928" s="3" t="str">
        <f>"00659812"</f>
        <v>00659812</v>
      </c>
    </row>
    <row r="7929" spans="1:2" x14ac:dyDescent="0.25">
      <c r="A7929" s="4">
        <v>7924</v>
      </c>
      <c r="B7929" s="3" t="str">
        <f>"00659849"</f>
        <v>00659849</v>
      </c>
    </row>
    <row r="7930" spans="1:2" x14ac:dyDescent="0.25">
      <c r="A7930" s="4">
        <v>7925</v>
      </c>
      <c r="B7930" s="3" t="str">
        <f>"00659862"</f>
        <v>00659862</v>
      </c>
    </row>
    <row r="7931" spans="1:2" x14ac:dyDescent="0.25">
      <c r="A7931" s="4">
        <v>7926</v>
      </c>
      <c r="B7931" s="3" t="str">
        <f>"00659874"</f>
        <v>00659874</v>
      </c>
    </row>
    <row r="7932" spans="1:2" x14ac:dyDescent="0.25">
      <c r="A7932" s="4">
        <v>7927</v>
      </c>
      <c r="B7932" s="3" t="str">
        <f>"00659877"</f>
        <v>00659877</v>
      </c>
    </row>
    <row r="7933" spans="1:2" x14ac:dyDescent="0.25">
      <c r="A7933" s="4">
        <v>7928</v>
      </c>
      <c r="B7933" s="3" t="str">
        <f>"00659888"</f>
        <v>00659888</v>
      </c>
    </row>
    <row r="7934" spans="1:2" x14ac:dyDescent="0.25">
      <c r="A7934" s="4">
        <v>7929</v>
      </c>
      <c r="B7934" s="3" t="str">
        <f>"00659909"</f>
        <v>00659909</v>
      </c>
    </row>
    <row r="7935" spans="1:2" x14ac:dyDescent="0.25">
      <c r="A7935" s="4">
        <v>7930</v>
      </c>
      <c r="B7935" s="3" t="str">
        <f>"00659942"</f>
        <v>00659942</v>
      </c>
    </row>
    <row r="7936" spans="1:2" x14ac:dyDescent="0.25">
      <c r="A7936" s="4">
        <v>7931</v>
      </c>
      <c r="B7936" s="3" t="str">
        <f>"00659954"</f>
        <v>00659954</v>
      </c>
    </row>
    <row r="7937" spans="1:2" x14ac:dyDescent="0.25">
      <c r="A7937" s="4">
        <v>7932</v>
      </c>
      <c r="B7937" s="3" t="str">
        <f>"00660018"</f>
        <v>00660018</v>
      </c>
    </row>
    <row r="7938" spans="1:2" x14ac:dyDescent="0.25">
      <c r="A7938" s="4">
        <v>7933</v>
      </c>
      <c r="B7938" s="3" t="str">
        <f>"00660044"</f>
        <v>00660044</v>
      </c>
    </row>
    <row r="7939" spans="1:2" x14ac:dyDescent="0.25">
      <c r="A7939" s="4">
        <v>7934</v>
      </c>
      <c r="B7939" s="3" t="str">
        <f>"00660054"</f>
        <v>00660054</v>
      </c>
    </row>
    <row r="7940" spans="1:2" x14ac:dyDescent="0.25">
      <c r="A7940" s="4">
        <v>7935</v>
      </c>
      <c r="B7940" s="3" t="str">
        <f>"00660055"</f>
        <v>00660055</v>
      </c>
    </row>
    <row r="7941" spans="1:2" x14ac:dyDescent="0.25">
      <c r="A7941" s="4">
        <v>7936</v>
      </c>
      <c r="B7941" s="3" t="str">
        <f>"00660134"</f>
        <v>00660134</v>
      </c>
    </row>
    <row r="7942" spans="1:2" x14ac:dyDescent="0.25">
      <c r="A7942" s="4">
        <v>7937</v>
      </c>
      <c r="B7942" s="3" t="str">
        <f>"00660136"</f>
        <v>00660136</v>
      </c>
    </row>
    <row r="7943" spans="1:2" x14ac:dyDescent="0.25">
      <c r="A7943" s="4">
        <v>7938</v>
      </c>
      <c r="B7943" s="3" t="str">
        <f>"00660143"</f>
        <v>00660143</v>
      </c>
    </row>
    <row r="7944" spans="1:2" x14ac:dyDescent="0.25">
      <c r="A7944" s="4">
        <v>7939</v>
      </c>
      <c r="B7944" s="3" t="str">
        <f>"00660145"</f>
        <v>00660145</v>
      </c>
    </row>
    <row r="7945" spans="1:2" x14ac:dyDescent="0.25">
      <c r="A7945" s="4">
        <v>7940</v>
      </c>
      <c r="B7945" s="3" t="str">
        <f>"00660161"</f>
        <v>00660161</v>
      </c>
    </row>
    <row r="7946" spans="1:2" x14ac:dyDescent="0.25">
      <c r="A7946" s="4">
        <v>7941</v>
      </c>
      <c r="B7946" s="3" t="str">
        <f>"00660201"</f>
        <v>00660201</v>
      </c>
    </row>
    <row r="7947" spans="1:2" x14ac:dyDescent="0.25">
      <c r="A7947" s="4">
        <v>7942</v>
      </c>
      <c r="B7947" s="3" t="str">
        <f>"00660203"</f>
        <v>00660203</v>
      </c>
    </row>
    <row r="7948" spans="1:2" x14ac:dyDescent="0.25">
      <c r="A7948" s="4">
        <v>7943</v>
      </c>
      <c r="B7948" s="3" t="str">
        <f>"00660228"</f>
        <v>00660228</v>
      </c>
    </row>
    <row r="7949" spans="1:2" x14ac:dyDescent="0.25">
      <c r="A7949" s="4">
        <v>7944</v>
      </c>
      <c r="B7949" s="3" t="str">
        <f>"00660233"</f>
        <v>00660233</v>
      </c>
    </row>
    <row r="7950" spans="1:2" x14ac:dyDescent="0.25">
      <c r="A7950" s="4">
        <v>7945</v>
      </c>
      <c r="B7950" s="3" t="str">
        <f>"00660246"</f>
        <v>00660246</v>
      </c>
    </row>
    <row r="7951" spans="1:2" x14ac:dyDescent="0.25">
      <c r="A7951" s="4">
        <v>7946</v>
      </c>
      <c r="B7951" s="3" t="str">
        <f>"00660262"</f>
        <v>00660262</v>
      </c>
    </row>
    <row r="7952" spans="1:2" x14ac:dyDescent="0.25">
      <c r="A7952" s="4">
        <v>7947</v>
      </c>
      <c r="B7952" s="3" t="str">
        <f>"00660270"</f>
        <v>00660270</v>
      </c>
    </row>
    <row r="7953" spans="1:2" x14ac:dyDescent="0.25">
      <c r="A7953" s="4">
        <v>7948</v>
      </c>
      <c r="B7953" s="3" t="str">
        <f>"00660330"</f>
        <v>00660330</v>
      </c>
    </row>
    <row r="7954" spans="1:2" x14ac:dyDescent="0.25">
      <c r="A7954" s="4">
        <v>7949</v>
      </c>
      <c r="B7954" s="3" t="str">
        <f>"00660419"</f>
        <v>00660419</v>
      </c>
    </row>
    <row r="7955" spans="1:2" x14ac:dyDescent="0.25">
      <c r="A7955" s="4">
        <v>7950</v>
      </c>
      <c r="B7955" s="3" t="str">
        <f>"00660428"</f>
        <v>00660428</v>
      </c>
    </row>
    <row r="7956" spans="1:2" x14ac:dyDescent="0.25">
      <c r="A7956" s="4">
        <v>7951</v>
      </c>
      <c r="B7956" s="3" t="str">
        <f>"00660429"</f>
        <v>00660429</v>
      </c>
    </row>
    <row r="7957" spans="1:2" x14ac:dyDescent="0.25">
      <c r="A7957" s="4">
        <v>7952</v>
      </c>
      <c r="B7957" s="3" t="str">
        <f>"00660471"</f>
        <v>00660471</v>
      </c>
    </row>
    <row r="7958" spans="1:2" x14ac:dyDescent="0.25">
      <c r="A7958" s="4">
        <v>7953</v>
      </c>
      <c r="B7958" s="3" t="str">
        <f>"00660481"</f>
        <v>00660481</v>
      </c>
    </row>
    <row r="7959" spans="1:2" x14ac:dyDescent="0.25">
      <c r="A7959" s="4">
        <v>7954</v>
      </c>
      <c r="B7959" s="3" t="str">
        <f>"00660489"</f>
        <v>00660489</v>
      </c>
    </row>
    <row r="7960" spans="1:2" x14ac:dyDescent="0.25">
      <c r="A7960" s="4">
        <v>7955</v>
      </c>
      <c r="B7960" s="3" t="str">
        <f>"00660517"</f>
        <v>00660517</v>
      </c>
    </row>
    <row r="7961" spans="1:2" x14ac:dyDescent="0.25">
      <c r="A7961" s="4">
        <v>7956</v>
      </c>
      <c r="B7961" s="3" t="str">
        <f>"00660521"</f>
        <v>00660521</v>
      </c>
    </row>
    <row r="7962" spans="1:2" x14ac:dyDescent="0.25">
      <c r="A7962" s="4">
        <v>7957</v>
      </c>
      <c r="B7962" s="3" t="str">
        <f>"00660533"</f>
        <v>00660533</v>
      </c>
    </row>
    <row r="7963" spans="1:2" x14ac:dyDescent="0.25">
      <c r="A7963" s="4">
        <v>7958</v>
      </c>
      <c r="B7963" s="3" t="str">
        <f>"00660548"</f>
        <v>00660548</v>
      </c>
    </row>
    <row r="7964" spans="1:2" x14ac:dyDescent="0.25">
      <c r="A7964" s="4">
        <v>7959</v>
      </c>
      <c r="B7964" s="3" t="str">
        <f>"00660565"</f>
        <v>00660565</v>
      </c>
    </row>
    <row r="7965" spans="1:2" x14ac:dyDescent="0.25">
      <c r="A7965" s="4">
        <v>7960</v>
      </c>
      <c r="B7965" s="3" t="str">
        <f>"00660591"</f>
        <v>00660591</v>
      </c>
    </row>
    <row r="7966" spans="1:2" x14ac:dyDescent="0.25">
      <c r="A7966" s="4">
        <v>7961</v>
      </c>
      <c r="B7966" s="3" t="str">
        <f>"00660607"</f>
        <v>00660607</v>
      </c>
    </row>
    <row r="7967" spans="1:2" x14ac:dyDescent="0.25">
      <c r="A7967" s="4">
        <v>7962</v>
      </c>
      <c r="B7967" s="3" t="str">
        <f>"00660632"</f>
        <v>00660632</v>
      </c>
    </row>
    <row r="7968" spans="1:2" x14ac:dyDescent="0.25">
      <c r="A7968" s="4">
        <v>7963</v>
      </c>
      <c r="B7968" s="3" t="str">
        <f>"00660637"</f>
        <v>00660637</v>
      </c>
    </row>
    <row r="7969" spans="1:2" x14ac:dyDescent="0.25">
      <c r="A7969" s="4">
        <v>7964</v>
      </c>
      <c r="B7969" s="3" t="str">
        <f>"00660639"</f>
        <v>00660639</v>
      </c>
    </row>
    <row r="7970" spans="1:2" x14ac:dyDescent="0.25">
      <c r="A7970" s="4">
        <v>7965</v>
      </c>
      <c r="B7970" s="3" t="str">
        <f>"00660640"</f>
        <v>00660640</v>
      </c>
    </row>
    <row r="7971" spans="1:2" x14ac:dyDescent="0.25">
      <c r="A7971" s="4">
        <v>7966</v>
      </c>
      <c r="B7971" s="3" t="str">
        <f>"00660641"</f>
        <v>00660641</v>
      </c>
    </row>
    <row r="7972" spans="1:2" x14ac:dyDescent="0.25">
      <c r="A7972" s="4">
        <v>7967</v>
      </c>
      <c r="B7972" s="3" t="str">
        <f>"00660643"</f>
        <v>00660643</v>
      </c>
    </row>
    <row r="7973" spans="1:2" x14ac:dyDescent="0.25">
      <c r="A7973" s="4">
        <v>7968</v>
      </c>
      <c r="B7973" s="3" t="str">
        <f>"00660674"</f>
        <v>00660674</v>
      </c>
    </row>
    <row r="7974" spans="1:2" x14ac:dyDescent="0.25">
      <c r="A7974" s="4">
        <v>7969</v>
      </c>
      <c r="B7974" s="3" t="str">
        <f>"00660678"</f>
        <v>00660678</v>
      </c>
    </row>
    <row r="7975" spans="1:2" x14ac:dyDescent="0.25">
      <c r="A7975" s="4">
        <v>7970</v>
      </c>
      <c r="B7975" s="3" t="str">
        <f>"00660680"</f>
        <v>00660680</v>
      </c>
    </row>
    <row r="7976" spans="1:2" x14ac:dyDescent="0.25">
      <c r="A7976" s="4">
        <v>7971</v>
      </c>
      <c r="B7976" s="3" t="str">
        <f>"00660685"</f>
        <v>00660685</v>
      </c>
    </row>
    <row r="7977" spans="1:2" x14ac:dyDescent="0.25">
      <c r="A7977" s="4">
        <v>7972</v>
      </c>
      <c r="B7977" s="3" t="str">
        <f>"00660693"</f>
        <v>00660693</v>
      </c>
    </row>
    <row r="7978" spans="1:2" x14ac:dyDescent="0.25">
      <c r="A7978" s="4">
        <v>7973</v>
      </c>
      <c r="B7978" s="3" t="str">
        <f>"00660699"</f>
        <v>00660699</v>
      </c>
    </row>
    <row r="7979" spans="1:2" x14ac:dyDescent="0.25">
      <c r="A7979" s="4">
        <v>7974</v>
      </c>
      <c r="B7979" s="3" t="str">
        <f>"00660722"</f>
        <v>00660722</v>
      </c>
    </row>
    <row r="7980" spans="1:2" x14ac:dyDescent="0.25">
      <c r="A7980" s="4">
        <v>7975</v>
      </c>
      <c r="B7980" s="3" t="str">
        <f>"00660734"</f>
        <v>00660734</v>
      </c>
    </row>
    <row r="7981" spans="1:2" x14ac:dyDescent="0.25">
      <c r="A7981" s="4">
        <v>7976</v>
      </c>
      <c r="B7981" s="3" t="str">
        <f>"00660746"</f>
        <v>00660746</v>
      </c>
    </row>
    <row r="7982" spans="1:2" x14ac:dyDescent="0.25">
      <c r="A7982" s="4">
        <v>7977</v>
      </c>
      <c r="B7982" s="3" t="str">
        <f>"00660747"</f>
        <v>00660747</v>
      </c>
    </row>
    <row r="7983" spans="1:2" x14ac:dyDescent="0.25">
      <c r="A7983" s="4">
        <v>7978</v>
      </c>
      <c r="B7983" s="3" t="str">
        <f>"00660783"</f>
        <v>00660783</v>
      </c>
    </row>
    <row r="7984" spans="1:2" x14ac:dyDescent="0.25">
      <c r="A7984" s="4">
        <v>7979</v>
      </c>
      <c r="B7984" s="3" t="str">
        <f>"00660793"</f>
        <v>00660793</v>
      </c>
    </row>
    <row r="7985" spans="1:2" x14ac:dyDescent="0.25">
      <c r="A7985" s="4">
        <v>7980</v>
      </c>
      <c r="B7985" s="3" t="str">
        <f>"00660800"</f>
        <v>00660800</v>
      </c>
    </row>
    <row r="7986" spans="1:2" x14ac:dyDescent="0.25">
      <c r="A7986" s="4">
        <v>7981</v>
      </c>
      <c r="B7986" s="3" t="str">
        <f>"00660802"</f>
        <v>00660802</v>
      </c>
    </row>
    <row r="7987" spans="1:2" x14ac:dyDescent="0.25">
      <c r="A7987" s="4">
        <v>7982</v>
      </c>
      <c r="B7987" s="3" t="str">
        <f>"00660806"</f>
        <v>00660806</v>
      </c>
    </row>
    <row r="7988" spans="1:2" x14ac:dyDescent="0.25">
      <c r="A7988" s="4">
        <v>7983</v>
      </c>
      <c r="B7988" s="3" t="str">
        <f>"00660824"</f>
        <v>00660824</v>
      </c>
    </row>
    <row r="7989" spans="1:2" x14ac:dyDescent="0.25">
      <c r="A7989" s="4">
        <v>7984</v>
      </c>
      <c r="B7989" s="3" t="str">
        <f>"00660839"</f>
        <v>00660839</v>
      </c>
    </row>
    <row r="7990" spans="1:2" x14ac:dyDescent="0.25">
      <c r="A7990" s="4">
        <v>7985</v>
      </c>
      <c r="B7990" s="3" t="str">
        <f>"00660871"</f>
        <v>00660871</v>
      </c>
    </row>
    <row r="7991" spans="1:2" x14ac:dyDescent="0.25">
      <c r="A7991" s="4">
        <v>7986</v>
      </c>
      <c r="B7991" s="3" t="str">
        <f>"00660873"</f>
        <v>00660873</v>
      </c>
    </row>
    <row r="7992" spans="1:2" x14ac:dyDescent="0.25">
      <c r="A7992" s="4">
        <v>7987</v>
      </c>
      <c r="B7992" s="3" t="str">
        <f>"00660892"</f>
        <v>00660892</v>
      </c>
    </row>
    <row r="7993" spans="1:2" x14ac:dyDescent="0.25">
      <c r="A7993" s="4">
        <v>7988</v>
      </c>
      <c r="B7993" s="3" t="str">
        <f>"00660895"</f>
        <v>00660895</v>
      </c>
    </row>
    <row r="7994" spans="1:2" x14ac:dyDescent="0.25">
      <c r="A7994" s="4">
        <v>7989</v>
      </c>
      <c r="B7994" s="3" t="str">
        <f>"00660909"</f>
        <v>00660909</v>
      </c>
    </row>
    <row r="7995" spans="1:2" x14ac:dyDescent="0.25">
      <c r="A7995" s="4">
        <v>7990</v>
      </c>
      <c r="B7995" s="3" t="str">
        <f>"00660966"</f>
        <v>00660966</v>
      </c>
    </row>
    <row r="7996" spans="1:2" x14ac:dyDescent="0.25">
      <c r="A7996" s="4">
        <v>7991</v>
      </c>
      <c r="B7996" s="3" t="str">
        <f>"00660975"</f>
        <v>00660975</v>
      </c>
    </row>
    <row r="7997" spans="1:2" x14ac:dyDescent="0.25">
      <c r="A7997" s="4">
        <v>7992</v>
      </c>
      <c r="B7997" s="3" t="str">
        <f>"00661067"</f>
        <v>00661067</v>
      </c>
    </row>
    <row r="7998" spans="1:2" x14ac:dyDescent="0.25">
      <c r="A7998" s="4">
        <v>7993</v>
      </c>
      <c r="B7998" s="3" t="str">
        <f>"00661099"</f>
        <v>00661099</v>
      </c>
    </row>
    <row r="7999" spans="1:2" x14ac:dyDescent="0.25">
      <c r="A7999" s="4">
        <v>7994</v>
      </c>
      <c r="B7999" s="3" t="str">
        <f>"00661118"</f>
        <v>00661118</v>
      </c>
    </row>
    <row r="8000" spans="1:2" x14ac:dyDescent="0.25">
      <c r="A8000" s="4">
        <v>7995</v>
      </c>
      <c r="B8000" s="3" t="str">
        <f>"00661158"</f>
        <v>00661158</v>
      </c>
    </row>
    <row r="8001" spans="1:2" x14ac:dyDescent="0.25">
      <c r="A8001" s="4">
        <v>7996</v>
      </c>
      <c r="B8001" s="3" t="str">
        <f>"00661160"</f>
        <v>00661160</v>
      </c>
    </row>
    <row r="8002" spans="1:2" x14ac:dyDescent="0.25">
      <c r="A8002" s="4">
        <v>7997</v>
      </c>
      <c r="B8002" s="3" t="str">
        <f>"00661172"</f>
        <v>00661172</v>
      </c>
    </row>
    <row r="8003" spans="1:2" x14ac:dyDescent="0.25">
      <c r="A8003" s="4">
        <v>7998</v>
      </c>
      <c r="B8003" s="3" t="str">
        <f>"00661203"</f>
        <v>00661203</v>
      </c>
    </row>
    <row r="8004" spans="1:2" x14ac:dyDescent="0.25">
      <c r="A8004" s="4">
        <v>7999</v>
      </c>
      <c r="B8004" s="3" t="str">
        <f>"00661281"</f>
        <v>00661281</v>
      </c>
    </row>
    <row r="8005" spans="1:2" x14ac:dyDescent="0.25">
      <c r="A8005" s="4">
        <v>8000</v>
      </c>
      <c r="B8005" s="3" t="str">
        <f>"00661298"</f>
        <v>00661298</v>
      </c>
    </row>
    <row r="8006" spans="1:2" x14ac:dyDescent="0.25">
      <c r="A8006" s="4">
        <v>8001</v>
      </c>
      <c r="B8006" s="3" t="str">
        <f>"00661307"</f>
        <v>00661307</v>
      </c>
    </row>
    <row r="8007" spans="1:2" x14ac:dyDescent="0.25">
      <c r="A8007" s="4">
        <v>8002</v>
      </c>
      <c r="B8007" s="3" t="str">
        <f>"00661334"</f>
        <v>00661334</v>
      </c>
    </row>
    <row r="8008" spans="1:2" x14ac:dyDescent="0.25">
      <c r="A8008" s="4">
        <v>8003</v>
      </c>
      <c r="B8008" s="3" t="str">
        <f>"00661354"</f>
        <v>00661354</v>
      </c>
    </row>
    <row r="8009" spans="1:2" x14ac:dyDescent="0.25">
      <c r="A8009" s="4">
        <v>8004</v>
      </c>
      <c r="B8009" s="3" t="str">
        <f>"00661355"</f>
        <v>00661355</v>
      </c>
    </row>
    <row r="8010" spans="1:2" x14ac:dyDescent="0.25">
      <c r="A8010" s="4">
        <v>8005</v>
      </c>
      <c r="B8010" s="3" t="str">
        <f>"00661356"</f>
        <v>00661356</v>
      </c>
    </row>
    <row r="8011" spans="1:2" x14ac:dyDescent="0.25">
      <c r="A8011" s="4">
        <v>8006</v>
      </c>
      <c r="B8011" s="3" t="str">
        <f>"00661358"</f>
        <v>00661358</v>
      </c>
    </row>
    <row r="8012" spans="1:2" x14ac:dyDescent="0.25">
      <c r="A8012" s="4">
        <v>8007</v>
      </c>
      <c r="B8012" s="3" t="str">
        <f>"00661371"</f>
        <v>00661371</v>
      </c>
    </row>
    <row r="8013" spans="1:2" x14ac:dyDescent="0.25">
      <c r="A8013" s="4">
        <v>8008</v>
      </c>
      <c r="B8013" s="3" t="str">
        <f>"00661385"</f>
        <v>00661385</v>
      </c>
    </row>
    <row r="8014" spans="1:2" x14ac:dyDescent="0.25">
      <c r="A8014" s="4">
        <v>8009</v>
      </c>
      <c r="B8014" s="3" t="str">
        <f>"00661437"</f>
        <v>00661437</v>
      </c>
    </row>
    <row r="8015" spans="1:2" x14ac:dyDescent="0.25">
      <c r="A8015" s="4">
        <v>8010</v>
      </c>
      <c r="B8015" s="3" t="str">
        <f>"00661481"</f>
        <v>00661481</v>
      </c>
    </row>
    <row r="8016" spans="1:2" x14ac:dyDescent="0.25">
      <c r="A8016" s="4">
        <v>8011</v>
      </c>
      <c r="B8016" s="3" t="str">
        <f>"00661581"</f>
        <v>00661581</v>
      </c>
    </row>
    <row r="8017" spans="1:2" x14ac:dyDescent="0.25">
      <c r="A8017" s="4">
        <v>8012</v>
      </c>
      <c r="B8017" s="3" t="str">
        <f>"00661597"</f>
        <v>00661597</v>
      </c>
    </row>
    <row r="8018" spans="1:2" x14ac:dyDescent="0.25">
      <c r="A8018" s="4">
        <v>8013</v>
      </c>
      <c r="B8018" s="3" t="str">
        <f>"00661633"</f>
        <v>00661633</v>
      </c>
    </row>
    <row r="8019" spans="1:2" x14ac:dyDescent="0.25">
      <c r="A8019" s="4">
        <v>8014</v>
      </c>
      <c r="B8019" s="3" t="str">
        <f>"00661640"</f>
        <v>00661640</v>
      </c>
    </row>
    <row r="8020" spans="1:2" x14ac:dyDescent="0.25">
      <c r="A8020" s="4">
        <v>8015</v>
      </c>
      <c r="B8020" s="3" t="str">
        <f>"00661664"</f>
        <v>00661664</v>
      </c>
    </row>
    <row r="8021" spans="1:2" x14ac:dyDescent="0.25">
      <c r="A8021" s="4">
        <v>8016</v>
      </c>
      <c r="B8021" s="3" t="str">
        <f>"00661673"</f>
        <v>00661673</v>
      </c>
    </row>
    <row r="8022" spans="1:2" x14ac:dyDescent="0.25">
      <c r="A8022" s="4">
        <v>8017</v>
      </c>
      <c r="B8022" s="3" t="str">
        <f>"00661677"</f>
        <v>00661677</v>
      </c>
    </row>
    <row r="8023" spans="1:2" x14ac:dyDescent="0.25">
      <c r="A8023" s="4">
        <v>8018</v>
      </c>
      <c r="B8023" s="3" t="str">
        <f>"00661683"</f>
        <v>00661683</v>
      </c>
    </row>
    <row r="8024" spans="1:2" x14ac:dyDescent="0.25">
      <c r="A8024" s="4">
        <v>8019</v>
      </c>
      <c r="B8024" s="3" t="str">
        <f>"00661687"</f>
        <v>00661687</v>
      </c>
    </row>
    <row r="8025" spans="1:2" x14ac:dyDescent="0.25">
      <c r="A8025" s="4">
        <v>8020</v>
      </c>
      <c r="B8025" s="3" t="str">
        <f>"00661696"</f>
        <v>00661696</v>
      </c>
    </row>
    <row r="8026" spans="1:2" x14ac:dyDescent="0.25">
      <c r="A8026" s="4">
        <v>8021</v>
      </c>
      <c r="B8026" s="3" t="str">
        <f>"00661714"</f>
        <v>00661714</v>
      </c>
    </row>
    <row r="8027" spans="1:2" x14ac:dyDescent="0.25">
      <c r="A8027" s="4">
        <v>8022</v>
      </c>
      <c r="B8027" s="3" t="str">
        <f>"00661732"</f>
        <v>00661732</v>
      </c>
    </row>
    <row r="8028" spans="1:2" x14ac:dyDescent="0.25">
      <c r="A8028" s="4">
        <v>8023</v>
      </c>
      <c r="B8028" s="3" t="str">
        <f>"00661747"</f>
        <v>00661747</v>
      </c>
    </row>
    <row r="8029" spans="1:2" x14ac:dyDescent="0.25">
      <c r="A8029" s="4">
        <v>8024</v>
      </c>
      <c r="B8029" s="3" t="str">
        <f>"00661748"</f>
        <v>00661748</v>
      </c>
    </row>
    <row r="8030" spans="1:2" x14ac:dyDescent="0.25">
      <c r="A8030" s="4">
        <v>8025</v>
      </c>
      <c r="B8030" s="3" t="str">
        <f>"00661761"</f>
        <v>00661761</v>
      </c>
    </row>
    <row r="8031" spans="1:2" x14ac:dyDescent="0.25">
      <c r="A8031" s="4">
        <v>8026</v>
      </c>
      <c r="B8031" s="3" t="str">
        <f>"00661766"</f>
        <v>00661766</v>
      </c>
    </row>
    <row r="8032" spans="1:2" x14ac:dyDescent="0.25">
      <c r="A8032" s="4">
        <v>8027</v>
      </c>
      <c r="B8032" s="3" t="str">
        <f>"00661771"</f>
        <v>00661771</v>
      </c>
    </row>
    <row r="8033" spans="1:2" x14ac:dyDescent="0.25">
      <c r="A8033" s="4">
        <v>8028</v>
      </c>
      <c r="B8033" s="3" t="str">
        <f>"00661794"</f>
        <v>00661794</v>
      </c>
    </row>
    <row r="8034" spans="1:2" x14ac:dyDescent="0.25">
      <c r="A8034" s="4">
        <v>8029</v>
      </c>
      <c r="B8034" s="3" t="str">
        <f>"00661798"</f>
        <v>00661798</v>
      </c>
    </row>
    <row r="8035" spans="1:2" x14ac:dyDescent="0.25">
      <c r="A8035" s="4">
        <v>8030</v>
      </c>
      <c r="B8035" s="3" t="str">
        <f>"00661858"</f>
        <v>00661858</v>
      </c>
    </row>
    <row r="8036" spans="1:2" x14ac:dyDescent="0.25">
      <c r="A8036" s="4">
        <v>8031</v>
      </c>
      <c r="B8036" s="3" t="str">
        <f>"00661870"</f>
        <v>00661870</v>
      </c>
    </row>
    <row r="8037" spans="1:2" x14ac:dyDescent="0.25">
      <c r="A8037" s="4">
        <v>8032</v>
      </c>
      <c r="B8037" s="3" t="str">
        <f>"00661897"</f>
        <v>00661897</v>
      </c>
    </row>
    <row r="8038" spans="1:2" x14ac:dyDescent="0.25">
      <c r="A8038" s="4">
        <v>8033</v>
      </c>
      <c r="B8038" s="3" t="str">
        <f>"00661971"</f>
        <v>00661971</v>
      </c>
    </row>
    <row r="8039" spans="1:2" x14ac:dyDescent="0.25">
      <c r="A8039" s="4">
        <v>8034</v>
      </c>
      <c r="B8039" s="3" t="str">
        <f>"00662008"</f>
        <v>00662008</v>
      </c>
    </row>
    <row r="8040" spans="1:2" x14ac:dyDescent="0.25">
      <c r="A8040" s="4">
        <v>8035</v>
      </c>
      <c r="B8040" s="3" t="str">
        <f>"00662060"</f>
        <v>00662060</v>
      </c>
    </row>
    <row r="8041" spans="1:2" x14ac:dyDescent="0.25">
      <c r="A8041" s="4">
        <v>8036</v>
      </c>
      <c r="B8041" s="3" t="str">
        <f>"00662062"</f>
        <v>00662062</v>
      </c>
    </row>
    <row r="8042" spans="1:2" x14ac:dyDescent="0.25">
      <c r="A8042" s="4">
        <v>8037</v>
      </c>
      <c r="B8042" s="3" t="str">
        <f>"00662085"</f>
        <v>00662085</v>
      </c>
    </row>
    <row r="8043" spans="1:2" x14ac:dyDescent="0.25">
      <c r="A8043" s="4">
        <v>8038</v>
      </c>
      <c r="B8043" s="3" t="str">
        <f>"00662112"</f>
        <v>00662112</v>
      </c>
    </row>
    <row r="8044" spans="1:2" x14ac:dyDescent="0.25">
      <c r="A8044" s="4">
        <v>8039</v>
      </c>
      <c r="B8044" s="3" t="str">
        <f>"00662149"</f>
        <v>00662149</v>
      </c>
    </row>
    <row r="8045" spans="1:2" x14ac:dyDescent="0.25">
      <c r="A8045" s="4">
        <v>8040</v>
      </c>
      <c r="B8045" s="3" t="str">
        <f>"00662164"</f>
        <v>00662164</v>
      </c>
    </row>
    <row r="8046" spans="1:2" x14ac:dyDescent="0.25">
      <c r="A8046" s="4">
        <v>8041</v>
      </c>
      <c r="B8046" s="3" t="str">
        <f>"00662174"</f>
        <v>00662174</v>
      </c>
    </row>
    <row r="8047" spans="1:2" x14ac:dyDescent="0.25">
      <c r="A8047" s="4">
        <v>8042</v>
      </c>
      <c r="B8047" s="3" t="str">
        <f>"00662193"</f>
        <v>00662193</v>
      </c>
    </row>
    <row r="8048" spans="1:2" x14ac:dyDescent="0.25">
      <c r="A8048" s="4">
        <v>8043</v>
      </c>
      <c r="B8048" s="3" t="str">
        <f>"00662200"</f>
        <v>00662200</v>
      </c>
    </row>
    <row r="8049" spans="1:2" x14ac:dyDescent="0.25">
      <c r="A8049" s="4">
        <v>8044</v>
      </c>
      <c r="B8049" s="3" t="str">
        <f>"00662226"</f>
        <v>00662226</v>
      </c>
    </row>
    <row r="8050" spans="1:2" x14ac:dyDescent="0.25">
      <c r="A8050" s="4">
        <v>8045</v>
      </c>
      <c r="B8050" s="3" t="str">
        <f>"00662247"</f>
        <v>00662247</v>
      </c>
    </row>
    <row r="8051" spans="1:2" x14ac:dyDescent="0.25">
      <c r="A8051" s="4">
        <v>8046</v>
      </c>
      <c r="B8051" s="3" t="str">
        <f>"00662252"</f>
        <v>00662252</v>
      </c>
    </row>
    <row r="8052" spans="1:2" x14ac:dyDescent="0.25">
      <c r="A8052" s="4">
        <v>8047</v>
      </c>
      <c r="B8052" s="3" t="str">
        <f>"00662259"</f>
        <v>00662259</v>
      </c>
    </row>
    <row r="8053" spans="1:2" x14ac:dyDescent="0.25">
      <c r="A8053" s="4">
        <v>8048</v>
      </c>
      <c r="B8053" s="3" t="str">
        <f>"00662263"</f>
        <v>00662263</v>
      </c>
    </row>
    <row r="8054" spans="1:2" x14ac:dyDescent="0.25">
      <c r="A8054" s="4">
        <v>8049</v>
      </c>
      <c r="B8054" s="3" t="str">
        <f>"00662281"</f>
        <v>00662281</v>
      </c>
    </row>
    <row r="8055" spans="1:2" x14ac:dyDescent="0.25">
      <c r="A8055" s="4">
        <v>8050</v>
      </c>
      <c r="B8055" s="3" t="str">
        <f>"00662304"</f>
        <v>00662304</v>
      </c>
    </row>
    <row r="8056" spans="1:2" x14ac:dyDescent="0.25">
      <c r="A8056" s="4">
        <v>8051</v>
      </c>
      <c r="B8056" s="3" t="str">
        <f>"00662312"</f>
        <v>00662312</v>
      </c>
    </row>
    <row r="8057" spans="1:2" x14ac:dyDescent="0.25">
      <c r="A8057" s="4">
        <v>8052</v>
      </c>
      <c r="B8057" s="3" t="str">
        <f>"00662319"</f>
        <v>00662319</v>
      </c>
    </row>
    <row r="8058" spans="1:2" x14ac:dyDescent="0.25">
      <c r="A8058" s="4">
        <v>8053</v>
      </c>
      <c r="B8058" s="3" t="str">
        <f>"00662320"</f>
        <v>00662320</v>
      </c>
    </row>
    <row r="8059" spans="1:2" x14ac:dyDescent="0.25">
      <c r="A8059" s="4">
        <v>8054</v>
      </c>
      <c r="B8059" s="3" t="str">
        <f>"00662357"</f>
        <v>00662357</v>
      </c>
    </row>
    <row r="8060" spans="1:2" x14ac:dyDescent="0.25">
      <c r="A8060" s="4">
        <v>8055</v>
      </c>
      <c r="B8060" s="3" t="str">
        <f>"00662363"</f>
        <v>00662363</v>
      </c>
    </row>
    <row r="8061" spans="1:2" x14ac:dyDescent="0.25">
      <c r="A8061" s="4">
        <v>8056</v>
      </c>
      <c r="B8061" s="3" t="str">
        <f>"00662396"</f>
        <v>00662396</v>
      </c>
    </row>
    <row r="8062" spans="1:2" x14ac:dyDescent="0.25">
      <c r="A8062" s="4">
        <v>8057</v>
      </c>
      <c r="B8062" s="3" t="str">
        <f>"00662402"</f>
        <v>00662402</v>
      </c>
    </row>
    <row r="8063" spans="1:2" x14ac:dyDescent="0.25">
      <c r="A8063" s="4">
        <v>8058</v>
      </c>
      <c r="B8063" s="3" t="str">
        <f>"00662410"</f>
        <v>00662410</v>
      </c>
    </row>
    <row r="8064" spans="1:2" x14ac:dyDescent="0.25">
      <c r="A8064" s="4">
        <v>8059</v>
      </c>
      <c r="B8064" s="3" t="str">
        <f>"00662423"</f>
        <v>00662423</v>
      </c>
    </row>
    <row r="8065" spans="1:2" x14ac:dyDescent="0.25">
      <c r="A8065" s="4">
        <v>8060</v>
      </c>
      <c r="B8065" s="3" t="str">
        <f>"00662456"</f>
        <v>00662456</v>
      </c>
    </row>
    <row r="8066" spans="1:2" x14ac:dyDescent="0.25">
      <c r="A8066" s="4">
        <v>8061</v>
      </c>
      <c r="B8066" s="3" t="str">
        <f>"00662461"</f>
        <v>00662461</v>
      </c>
    </row>
    <row r="8067" spans="1:2" x14ac:dyDescent="0.25">
      <c r="A8067" s="4">
        <v>8062</v>
      </c>
      <c r="B8067" s="3" t="str">
        <f>"00662497"</f>
        <v>00662497</v>
      </c>
    </row>
    <row r="8068" spans="1:2" x14ac:dyDescent="0.25">
      <c r="A8068" s="4">
        <v>8063</v>
      </c>
      <c r="B8068" s="3" t="str">
        <f>"00662500"</f>
        <v>00662500</v>
      </c>
    </row>
    <row r="8069" spans="1:2" x14ac:dyDescent="0.25">
      <c r="A8069" s="4">
        <v>8064</v>
      </c>
      <c r="B8069" s="3" t="str">
        <f>"00662501"</f>
        <v>00662501</v>
      </c>
    </row>
    <row r="8070" spans="1:2" x14ac:dyDescent="0.25">
      <c r="A8070" s="4">
        <v>8065</v>
      </c>
      <c r="B8070" s="3" t="str">
        <f>"00662511"</f>
        <v>00662511</v>
      </c>
    </row>
    <row r="8071" spans="1:2" x14ac:dyDescent="0.25">
      <c r="A8071" s="4">
        <v>8066</v>
      </c>
      <c r="B8071" s="3" t="str">
        <f>"00662525"</f>
        <v>00662525</v>
      </c>
    </row>
    <row r="8072" spans="1:2" x14ac:dyDescent="0.25">
      <c r="A8072" s="4">
        <v>8067</v>
      </c>
      <c r="B8072" s="3" t="str">
        <f>"00662541"</f>
        <v>00662541</v>
      </c>
    </row>
    <row r="8073" spans="1:2" x14ac:dyDescent="0.25">
      <c r="A8073" s="4">
        <v>8068</v>
      </c>
      <c r="B8073" s="3" t="str">
        <f>"00662559"</f>
        <v>00662559</v>
      </c>
    </row>
    <row r="8074" spans="1:2" x14ac:dyDescent="0.25">
      <c r="A8074" s="4">
        <v>8069</v>
      </c>
      <c r="B8074" s="3" t="str">
        <f>"00662568"</f>
        <v>00662568</v>
      </c>
    </row>
    <row r="8075" spans="1:2" x14ac:dyDescent="0.25">
      <c r="A8075" s="4">
        <v>8070</v>
      </c>
      <c r="B8075" s="3" t="str">
        <f>"00662607"</f>
        <v>00662607</v>
      </c>
    </row>
    <row r="8076" spans="1:2" x14ac:dyDescent="0.25">
      <c r="A8076" s="4">
        <v>8071</v>
      </c>
      <c r="B8076" s="3" t="str">
        <f>"00662638"</f>
        <v>00662638</v>
      </c>
    </row>
    <row r="8077" spans="1:2" x14ac:dyDescent="0.25">
      <c r="A8077" s="4">
        <v>8072</v>
      </c>
      <c r="B8077" s="3" t="str">
        <f>"00662639"</f>
        <v>00662639</v>
      </c>
    </row>
    <row r="8078" spans="1:2" x14ac:dyDescent="0.25">
      <c r="A8078" s="4">
        <v>8073</v>
      </c>
      <c r="B8078" s="3" t="str">
        <f>"00662646"</f>
        <v>00662646</v>
      </c>
    </row>
    <row r="8079" spans="1:2" x14ac:dyDescent="0.25">
      <c r="A8079" s="4">
        <v>8074</v>
      </c>
      <c r="B8079" s="3" t="str">
        <f>"00662673"</f>
        <v>00662673</v>
      </c>
    </row>
    <row r="8080" spans="1:2" x14ac:dyDescent="0.25">
      <c r="A8080" s="4">
        <v>8075</v>
      </c>
      <c r="B8080" s="3" t="str">
        <f>"00662683"</f>
        <v>00662683</v>
      </c>
    </row>
    <row r="8081" spans="1:2" x14ac:dyDescent="0.25">
      <c r="A8081" s="4">
        <v>8076</v>
      </c>
      <c r="B8081" s="3" t="str">
        <f>"00662693"</f>
        <v>00662693</v>
      </c>
    </row>
    <row r="8082" spans="1:2" x14ac:dyDescent="0.25">
      <c r="A8082" s="4">
        <v>8077</v>
      </c>
      <c r="B8082" s="3" t="str">
        <f>"00662721"</f>
        <v>00662721</v>
      </c>
    </row>
    <row r="8083" spans="1:2" x14ac:dyDescent="0.25">
      <c r="A8083" s="4">
        <v>8078</v>
      </c>
      <c r="B8083" s="3" t="str">
        <f>"00662741"</f>
        <v>00662741</v>
      </c>
    </row>
    <row r="8084" spans="1:2" x14ac:dyDescent="0.25">
      <c r="A8084" s="4">
        <v>8079</v>
      </c>
      <c r="B8084" s="3" t="str">
        <f>"00662746"</f>
        <v>00662746</v>
      </c>
    </row>
    <row r="8085" spans="1:2" x14ac:dyDescent="0.25">
      <c r="A8085" s="4">
        <v>8080</v>
      </c>
      <c r="B8085" s="3" t="str">
        <f>"00662748"</f>
        <v>00662748</v>
      </c>
    </row>
    <row r="8086" spans="1:2" x14ac:dyDescent="0.25">
      <c r="A8086" s="4">
        <v>8081</v>
      </c>
      <c r="B8086" s="3" t="str">
        <f>"00662753"</f>
        <v>00662753</v>
      </c>
    </row>
    <row r="8087" spans="1:2" x14ac:dyDescent="0.25">
      <c r="A8087" s="4">
        <v>8082</v>
      </c>
      <c r="B8087" s="3" t="str">
        <f>"00662756"</f>
        <v>00662756</v>
      </c>
    </row>
    <row r="8088" spans="1:2" x14ac:dyDescent="0.25">
      <c r="A8088" s="4">
        <v>8083</v>
      </c>
      <c r="B8088" s="3" t="str">
        <f>"00662758"</f>
        <v>00662758</v>
      </c>
    </row>
    <row r="8089" spans="1:2" x14ac:dyDescent="0.25">
      <c r="A8089" s="4">
        <v>8084</v>
      </c>
      <c r="B8089" s="3" t="str">
        <f>"00662759"</f>
        <v>00662759</v>
      </c>
    </row>
    <row r="8090" spans="1:2" x14ac:dyDescent="0.25">
      <c r="A8090" s="4">
        <v>8085</v>
      </c>
      <c r="B8090" s="3" t="str">
        <f>"00662760"</f>
        <v>00662760</v>
      </c>
    </row>
    <row r="8091" spans="1:2" x14ac:dyDescent="0.25">
      <c r="A8091" s="4">
        <v>8086</v>
      </c>
      <c r="B8091" s="3" t="str">
        <f>"00662762"</f>
        <v>00662762</v>
      </c>
    </row>
    <row r="8092" spans="1:2" x14ac:dyDescent="0.25">
      <c r="A8092" s="4">
        <v>8087</v>
      </c>
      <c r="B8092" s="3" t="str">
        <f>"00662766"</f>
        <v>00662766</v>
      </c>
    </row>
    <row r="8093" spans="1:2" x14ac:dyDescent="0.25">
      <c r="A8093" s="4">
        <v>8088</v>
      </c>
      <c r="B8093" s="3" t="str">
        <f>"00662768"</f>
        <v>00662768</v>
      </c>
    </row>
    <row r="8094" spans="1:2" x14ac:dyDescent="0.25">
      <c r="A8094" s="4">
        <v>8089</v>
      </c>
      <c r="B8094" s="3" t="str">
        <f>"00662791"</f>
        <v>00662791</v>
      </c>
    </row>
    <row r="8095" spans="1:2" x14ac:dyDescent="0.25">
      <c r="A8095" s="4">
        <v>8090</v>
      </c>
      <c r="B8095" s="3" t="str">
        <f>"00662832"</f>
        <v>00662832</v>
      </c>
    </row>
    <row r="8096" spans="1:2" x14ac:dyDescent="0.25">
      <c r="A8096" s="4">
        <v>8091</v>
      </c>
      <c r="B8096" s="3" t="str">
        <f>"00662840"</f>
        <v>00662840</v>
      </c>
    </row>
    <row r="8097" spans="1:2" x14ac:dyDescent="0.25">
      <c r="A8097" s="4">
        <v>8092</v>
      </c>
      <c r="B8097" s="3" t="str">
        <f>"00662842"</f>
        <v>00662842</v>
      </c>
    </row>
    <row r="8098" spans="1:2" x14ac:dyDescent="0.25">
      <c r="A8098" s="4">
        <v>8093</v>
      </c>
      <c r="B8098" s="3" t="str">
        <f>"00662847"</f>
        <v>00662847</v>
      </c>
    </row>
    <row r="8099" spans="1:2" x14ac:dyDescent="0.25">
      <c r="A8099" s="4">
        <v>8094</v>
      </c>
      <c r="B8099" s="3" t="str">
        <f>"00662943"</f>
        <v>00662943</v>
      </c>
    </row>
    <row r="8100" spans="1:2" x14ac:dyDescent="0.25">
      <c r="A8100" s="4">
        <v>8095</v>
      </c>
      <c r="B8100" s="3" t="str">
        <f>"00662946"</f>
        <v>00662946</v>
      </c>
    </row>
    <row r="8101" spans="1:2" x14ac:dyDescent="0.25">
      <c r="A8101" s="4">
        <v>8096</v>
      </c>
      <c r="B8101" s="3" t="str">
        <f>"00662964"</f>
        <v>00662964</v>
      </c>
    </row>
    <row r="8102" spans="1:2" x14ac:dyDescent="0.25">
      <c r="A8102" s="4">
        <v>8097</v>
      </c>
      <c r="B8102" s="3" t="str">
        <f>"00662978"</f>
        <v>00662978</v>
      </c>
    </row>
    <row r="8103" spans="1:2" x14ac:dyDescent="0.25">
      <c r="A8103" s="4">
        <v>8098</v>
      </c>
      <c r="B8103" s="3" t="str">
        <f>"00663001"</f>
        <v>00663001</v>
      </c>
    </row>
    <row r="8104" spans="1:2" x14ac:dyDescent="0.25">
      <c r="A8104" s="4">
        <v>8099</v>
      </c>
      <c r="B8104" s="3" t="str">
        <f>"00663018"</f>
        <v>00663018</v>
      </c>
    </row>
    <row r="8105" spans="1:2" x14ac:dyDescent="0.25">
      <c r="A8105" s="4">
        <v>8100</v>
      </c>
      <c r="B8105" s="3" t="str">
        <f>"00663087"</f>
        <v>00663087</v>
      </c>
    </row>
    <row r="8106" spans="1:2" x14ac:dyDescent="0.25">
      <c r="A8106" s="4">
        <v>8101</v>
      </c>
      <c r="B8106" s="3" t="str">
        <f>"00663113"</f>
        <v>00663113</v>
      </c>
    </row>
    <row r="8107" spans="1:2" x14ac:dyDescent="0.25">
      <c r="A8107" s="4">
        <v>8102</v>
      </c>
      <c r="B8107" s="3" t="str">
        <f>"00663147"</f>
        <v>00663147</v>
      </c>
    </row>
    <row r="8108" spans="1:2" x14ac:dyDescent="0.25">
      <c r="A8108" s="4">
        <v>8103</v>
      </c>
      <c r="B8108" s="3" t="str">
        <f>"00663152"</f>
        <v>00663152</v>
      </c>
    </row>
    <row r="8109" spans="1:2" x14ac:dyDescent="0.25">
      <c r="A8109" s="4">
        <v>8104</v>
      </c>
      <c r="B8109" s="3" t="str">
        <f>"00663156"</f>
        <v>00663156</v>
      </c>
    </row>
    <row r="8110" spans="1:2" x14ac:dyDescent="0.25">
      <c r="A8110" s="4">
        <v>8105</v>
      </c>
      <c r="B8110" s="3" t="str">
        <f>"00663193"</f>
        <v>00663193</v>
      </c>
    </row>
    <row r="8111" spans="1:2" x14ac:dyDescent="0.25">
      <c r="A8111" s="4">
        <v>8106</v>
      </c>
      <c r="B8111" s="3" t="str">
        <f>"00663219"</f>
        <v>00663219</v>
      </c>
    </row>
    <row r="8112" spans="1:2" x14ac:dyDescent="0.25">
      <c r="A8112" s="4">
        <v>8107</v>
      </c>
      <c r="B8112" s="3" t="str">
        <f>"00663220"</f>
        <v>00663220</v>
      </c>
    </row>
    <row r="8113" spans="1:2" x14ac:dyDescent="0.25">
      <c r="A8113" s="4">
        <v>8108</v>
      </c>
      <c r="B8113" s="3" t="str">
        <f>"00663245"</f>
        <v>00663245</v>
      </c>
    </row>
    <row r="8114" spans="1:2" x14ac:dyDescent="0.25">
      <c r="A8114" s="4">
        <v>8109</v>
      </c>
      <c r="B8114" s="3" t="str">
        <f>"00663247"</f>
        <v>00663247</v>
      </c>
    </row>
    <row r="8115" spans="1:2" x14ac:dyDescent="0.25">
      <c r="A8115" s="4">
        <v>8110</v>
      </c>
      <c r="B8115" s="3" t="str">
        <f>"00663249"</f>
        <v>00663249</v>
      </c>
    </row>
    <row r="8116" spans="1:2" x14ac:dyDescent="0.25">
      <c r="A8116" s="4">
        <v>8111</v>
      </c>
      <c r="B8116" s="3" t="str">
        <f>"00663270"</f>
        <v>00663270</v>
      </c>
    </row>
    <row r="8117" spans="1:2" x14ac:dyDescent="0.25">
      <c r="A8117" s="4">
        <v>8112</v>
      </c>
      <c r="B8117" s="3" t="str">
        <f>"00663275"</f>
        <v>00663275</v>
      </c>
    </row>
    <row r="8118" spans="1:2" x14ac:dyDescent="0.25">
      <c r="A8118" s="4">
        <v>8113</v>
      </c>
      <c r="B8118" s="3" t="str">
        <f>"00663282"</f>
        <v>00663282</v>
      </c>
    </row>
    <row r="8119" spans="1:2" x14ac:dyDescent="0.25">
      <c r="A8119" s="4">
        <v>8114</v>
      </c>
      <c r="B8119" s="3" t="str">
        <f>"00663303"</f>
        <v>00663303</v>
      </c>
    </row>
    <row r="8120" spans="1:2" x14ac:dyDescent="0.25">
      <c r="A8120" s="4">
        <v>8115</v>
      </c>
      <c r="B8120" s="3" t="str">
        <f>"00663326"</f>
        <v>00663326</v>
      </c>
    </row>
    <row r="8121" spans="1:2" x14ac:dyDescent="0.25">
      <c r="A8121" s="4">
        <v>8116</v>
      </c>
      <c r="B8121" s="3" t="str">
        <f>"00663342"</f>
        <v>00663342</v>
      </c>
    </row>
    <row r="8122" spans="1:2" x14ac:dyDescent="0.25">
      <c r="A8122" s="4">
        <v>8117</v>
      </c>
      <c r="B8122" s="3" t="str">
        <f>"00663359"</f>
        <v>00663359</v>
      </c>
    </row>
    <row r="8123" spans="1:2" x14ac:dyDescent="0.25">
      <c r="A8123" s="4">
        <v>8118</v>
      </c>
      <c r="B8123" s="3" t="str">
        <f>"00663362"</f>
        <v>00663362</v>
      </c>
    </row>
    <row r="8124" spans="1:2" x14ac:dyDescent="0.25">
      <c r="A8124" s="4">
        <v>8119</v>
      </c>
      <c r="B8124" s="3" t="str">
        <f>"00663379"</f>
        <v>00663379</v>
      </c>
    </row>
    <row r="8125" spans="1:2" x14ac:dyDescent="0.25">
      <c r="A8125" s="4">
        <v>8120</v>
      </c>
      <c r="B8125" s="3" t="str">
        <f>"00663394"</f>
        <v>00663394</v>
      </c>
    </row>
    <row r="8126" spans="1:2" x14ac:dyDescent="0.25">
      <c r="A8126" s="4">
        <v>8121</v>
      </c>
      <c r="B8126" s="3" t="str">
        <f>"00663396"</f>
        <v>00663396</v>
      </c>
    </row>
    <row r="8127" spans="1:2" x14ac:dyDescent="0.25">
      <c r="A8127" s="4">
        <v>8122</v>
      </c>
      <c r="B8127" s="3" t="str">
        <f>"00663432"</f>
        <v>00663432</v>
      </c>
    </row>
    <row r="8128" spans="1:2" x14ac:dyDescent="0.25">
      <c r="A8128" s="4">
        <v>8123</v>
      </c>
      <c r="B8128" s="3" t="str">
        <f>"00663470"</f>
        <v>00663470</v>
      </c>
    </row>
    <row r="8129" spans="1:2" x14ac:dyDescent="0.25">
      <c r="A8129" s="4">
        <v>8124</v>
      </c>
      <c r="B8129" s="3" t="str">
        <f>"00663478"</f>
        <v>00663478</v>
      </c>
    </row>
    <row r="8130" spans="1:2" x14ac:dyDescent="0.25">
      <c r="A8130" s="4">
        <v>8125</v>
      </c>
      <c r="B8130" s="3" t="str">
        <f>"00663487"</f>
        <v>00663487</v>
      </c>
    </row>
    <row r="8131" spans="1:2" x14ac:dyDescent="0.25">
      <c r="A8131" s="4">
        <v>8126</v>
      </c>
      <c r="B8131" s="3" t="str">
        <f>"00663534"</f>
        <v>00663534</v>
      </c>
    </row>
    <row r="8132" spans="1:2" x14ac:dyDescent="0.25">
      <c r="A8132" s="4">
        <v>8127</v>
      </c>
      <c r="B8132" s="3" t="str">
        <f>"00663608"</f>
        <v>00663608</v>
      </c>
    </row>
    <row r="8133" spans="1:2" x14ac:dyDescent="0.25">
      <c r="A8133" s="4">
        <v>8128</v>
      </c>
      <c r="B8133" s="3" t="str">
        <f>"00663622"</f>
        <v>00663622</v>
      </c>
    </row>
    <row r="8134" spans="1:2" x14ac:dyDescent="0.25">
      <c r="A8134" s="4">
        <v>8129</v>
      </c>
      <c r="B8134" s="3" t="str">
        <f>"00663661"</f>
        <v>00663661</v>
      </c>
    </row>
    <row r="8135" spans="1:2" x14ac:dyDescent="0.25">
      <c r="A8135" s="4">
        <v>8130</v>
      </c>
      <c r="B8135" s="3" t="str">
        <f>"00663665"</f>
        <v>00663665</v>
      </c>
    </row>
    <row r="8136" spans="1:2" x14ac:dyDescent="0.25">
      <c r="A8136" s="4">
        <v>8131</v>
      </c>
      <c r="B8136" s="3" t="str">
        <f>"00663669"</f>
        <v>00663669</v>
      </c>
    </row>
    <row r="8137" spans="1:2" x14ac:dyDescent="0.25">
      <c r="A8137" s="4">
        <v>8132</v>
      </c>
      <c r="B8137" s="3" t="str">
        <f>"00663678"</f>
        <v>00663678</v>
      </c>
    </row>
    <row r="8138" spans="1:2" x14ac:dyDescent="0.25">
      <c r="A8138" s="4">
        <v>8133</v>
      </c>
      <c r="B8138" s="3" t="str">
        <f>"00663681"</f>
        <v>00663681</v>
      </c>
    </row>
    <row r="8139" spans="1:2" x14ac:dyDescent="0.25">
      <c r="A8139" s="4">
        <v>8134</v>
      </c>
      <c r="B8139" s="3" t="str">
        <f>"00663699"</f>
        <v>00663699</v>
      </c>
    </row>
    <row r="8140" spans="1:2" x14ac:dyDescent="0.25">
      <c r="A8140" s="4">
        <v>8135</v>
      </c>
      <c r="B8140" s="3" t="str">
        <f>"00663702"</f>
        <v>00663702</v>
      </c>
    </row>
    <row r="8141" spans="1:2" x14ac:dyDescent="0.25">
      <c r="A8141" s="4">
        <v>8136</v>
      </c>
      <c r="B8141" s="3" t="str">
        <f>"00663707"</f>
        <v>00663707</v>
      </c>
    </row>
    <row r="8142" spans="1:2" x14ac:dyDescent="0.25">
      <c r="A8142" s="4">
        <v>8137</v>
      </c>
      <c r="B8142" s="3" t="str">
        <f>"00663719"</f>
        <v>00663719</v>
      </c>
    </row>
    <row r="8143" spans="1:2" x14ac:dyDescent="0.25">
      <c r="A8143" s="4">
        <v>8138</v>
      </c>
      <c r="B8143" s="3" t="str">
        <f>"00663766"</f>
        <v>00663766</v>
      </c>
    </row>
    <row r="8144" spans="1:2" x14ac:dyDescent="0.25">
      <c r="A8144" s="4">
        <v>8139</v>
      </c>
      <c r="B8144" s="3" t="str">
        <f>"00663778"</f>
        <v>00663778</v>
      </c>
    </row>
    <row r="8145" spans="1:2" x14ac:dyDescent="0.25">
      <c r="A8145" s="4">
        <v>8140</v>
      </c>
      <c r="B8145" s="3" t="str">
        <f>"00663784"</f>
        <v>00663784</v>
      </c>
    </row>
    <row r="8146" spans="1:2" x14ac:dyDescent="0.25">
      <c r="A8146" s="4">
        <v>8141</v>
      </c>
      <c r="B8146" s="3" t="str">
        <f>"00663789"</f>
        <v>00663789</v>
      </c>
    </row>
    <row r="8147" spans="1:2" x14ac:dyDescent="0.25">
      <c r="A8147" s="4">
        <v>8142</v>
      </c>
      <c r="B8147" s="3" t="str">
        <f>"00663796"</f>
        <v>00663796</v>
      </c>
    </row>
    <row r="8148" spans="1:2" x14ac:dyDescent="0.25">
      <c r="A8148" s="4">
        <v>8143</v>
      </c>
      <c r="B8148" s="3" t="str">
        <f>"00663820"</f>
        <v>00663820</v>
      </c>
    </row>
    <row r="8149" spans="1:2" x14ac:dyDescent="0.25">
      <c r="A8149" s="4">
        <v>8144</v>
      </c>
      <c r="B8149" s="3" t="str">
        <f>"00663834"</f>
        <v>00663834</v>
      </c>
    </row>
    <row r="8150" spans="1:2" x14ac:dyDescent="0.25">
      <c r="A8150" s="4">
        <v>8145</v>
      </c>
      <c r="B8150" s="3" t="str">
        <f>"00663840"</f>
        <v>00663840</v>
      </c>
    </row>
    <row r="8151" spans="1:2" x14ac:dyDescent="0.25">
      <c r="A8151" s="4">
        <v>8146</v>
      </c>
      <c r="B8151" s="3" t="str">
        <f>"00663847"</f>
        <v>00663847</v>
      </c>
    </row>
    <row r="8152" spans="1:2" x14ac:dyDescent="0.25">
      <c r="A8152" s="4">
        <v>8147</v>
      </c>
      <c r="B8152" s="3" t="str">
        <f>"00663848"</f>
        <v>00663848</v>
      </c>
    </row>
    <row r="8153" spans="1:2" x14ac:dyDescent="0.25">
      <c r="A8153" s="4">
        <v>8148</v>
      </c>
      <c r="B8153" s="3" t="str">
        <f>"00663853"</f>
        <v>00663853</v>
      </c>
    </row>
    <row r="8154" spans="1:2" x14ac:dyDescent="0.25">
      <c r="A8154" s="4">
        <v>8149</v>
      </c>
      <c r="B8154" s="3" t="str">
        <f>"00663858"</f>
        <v>00663858</v>
      </c>
    </row>
    <row r="8155" spans="1:2" x14ac:dyDescent="0.25">
      <c r="A8155" s="4">
        <v>8150</v>
      </c>
      <c r="B8155" s="3" t="str">
        <f>"00663893"</f>
        <v>00663893</v>
      </c>
    </row>
    <row r="8156" spans="1:2" x14ac:dyDescent="0.25">
      <c r="A8156" s="4">
        <v>8151</v>
      </c>
      <c r="B8156" s="3" t="str">
        <f>"00663896"</f>
        <v>00663896</v>
      </c>
    </row>
    <row r="8157" spans="1:2" x14ac:dyDescent="0.25">
      <c r="A8157" s="4">
        <v>8152</v>
      </c>
      <c r="B8157" s="3" t="str">
        <f>"00663897"</f>
        <v>00663897</v>
      </c>
    </row>
    <row r="8158" spans="1:2" x14ac:dyDescent="0.25">
      <c r="A8158" s="4">
        <v>8153</v>
      </c>
      <c r="B8158" s="3" t="str">
        <f>"00663900"</f>
        <v>00663900</v>
      </c>
    </row>
    <row r="8159" spans="1:2" x14ac:dyDescent="0.25">
      <c r="A8159" s="4">
        <v>8154</v>
      </c>
      <c r="B8159" s="3" t="str">
        <f>"00663905"</f>
        <v>00663905</v>
      </c>
    </row>
    <row r="8160" spans="1:2" x14ac:dyDescent="0.25">
      <c r="A8160" s="4">
        <v>8155</v>
      </c>
      <c r="B8160" s="3" t="str">
        <f>"00663916"</f>
        <v>00663916</v>
      </c>
    </row>
    <row r="8161" spans="1:2" x14ac:dyDescent="0.25">
      <c r="A8161" s="4">
        <v>8156</v>
      </c>
      <c r="B8161" s="3" t="str">
        <f>"00663919"</f>
        <v>00663919</v>
      </c>
    </row>
    <row r="8162" spans="1:2" x14ac:dyDescent="0.25">
      <c r="A8162" s="4">
        <v>8157</v>
      </c>
      <c r="B8162" s="3" t="str">
        <f>"00663933"</f>
        <v>00663933</v>
      </c>
    </row>
    <row r="8163" spans="1:2" x14ac:dyDescent="0.25">
      <c r="A8163" s="4">
        <v>8158</v>
      </c>
      <c r="B8163" s="3" t="str">
        <f>"00663951"</f>
        <v>00663951</v>
      </c>
    </row>
    <row r="8164" spans="1:2" x14ac:dyDescent="0.25">
      <c r="A8164" s="4">
        <v>8159</v>
      </c>
      <c r="B8164" s="3" t="str">
        <f>"00663965"</f>
        <v>00663965</v>
      </c>
    </row>
    <row r="8165" spans="1:2" x14ac:dyDescent="0.25">
      <c r="A8165" s="4">
        <v>8160</v>
      </c>
      <c r="B8165" s="3" t="str">
        <f>"00663972"</f>
        <v>00663972</v>
      </c>
    </row>
    <row r="8166" spans="1:2" x14ac:dyDescent="0.25">
      <c r="A8166" s="4">
        <v>8161</v>
      </c>
      <c r="B8166" s="3" t="str">
        <f>"00663974"</f>
        <v>00663974</v>
      </c>
    </row>
    <row r="8167" spans="1:2" x14ac:dyDescent="0.25">
      <c r="A8167" s="4">
        <v>8162</v>
      </c>
      <c r="B8167" s="3" t="str">
        <f>"00663983"</f>
        <v>00663983</v>
      </c>
    </row>
    <row r="8168" spans="1:2" x14ac:dyDescent="0.25">
      <c r="A8168" s="4">
        <v>8163</v>
      </c>
      <c r="B8168" s="3" t="str">
        <f>"00663985"</f>
        <v>00663985</v>
      </c>
    </row>
    <row r="8169" spans="1:2" x14ac:dyDescent="0.25">
      <c r="A8169" s="4">
        <v>8164</v>
      </c>
      <c r="B8169" s="3" t="str">
        <f>"00663996"</f>
        <v>00663996</v>
      </c>
    </row>
    <row r="8170" spans="1:2" x14ac:dyDescent="0.25">
      <c r="A8170" s="4">
        <v>8165</v>
      </c>
      <c r="B8170" s="3" t="str">
        <f>"00664001"</f>
        <v>00664001</v>
      </c>
    </row>
    <row r="8171" spans="1:2" x14ac:dyDescent="0.25">
      <c r="A8171" s="4">
        <v>8166</v>
      </c>
      <c r="B8171" s="3" t="str">
        <f>"00664010"</f>
        <v>00664010</v>
      </c>
    </row>
    <row r="8172" spans="1:2" x14ac:dyDescent="0.25">
      <c r="A8172" s="4">
        <v>8167</v>
      </c>
      <c r="B8172" s="3" t="str">
        <f>"00664012"</f>
        <v>00664012</v>
      </c>
    </row>
    <row r="8173" spans="1:2" x14ac:dyDescent="0.25">
      <c r="A8173" s="4">
        <v>8168</v>
      </c>
      <c r="B8173" s="3" t="str">
        <f>"00664018"</f>
        <v>00664018</v>
      </c>
    </row>
    <row r="8174" spans="1:2" x14ac:dyDescent="0.25">
      <c r="A8174" s="4">
        <v>8169</v>
      </c>
      <c r="B8174" s="3" t="str">
        <f>"00664019"</f>
        <v>00664019</v>
      </c>
    </row>
    <row r="8175" spans="1:2" x14ac:dyDescent="0.25">
      <c r="A8175" s="4">
        <v>8170</v>
      </c>
      <c r="B8175" s="3" t="str">
        <f>"00664031"</f>
        <v>00664031</v>
      </c>
    </row>
    <row r="8176" spans="1:2" x14ac:dyDescent="0.25">
      <c r="A8176" s="4">
        <v>8171</v>
      </c>
      <c r="B8176" s="3" t="str">
        <f>"00664032"</f>
        <v>00664032</v>
      </c>
    </row>
    <row r="8177" spans="1:2" x14ac:dyDescent="0.25">
      <c r="A8177" s="4">
        <v>8172</v>
      </c>
      <c r="B8177" s="3" t="str">
        <f>"00664033"</f>
        <v>00664033</v>
      </c>
    </row>
    <row r="8178" spans="1:2" x14ac:dyDescent="0.25">
      <c r="A8178" s="4">
        <v>8173</v>
      </c>
      <c r="B8178" s="3" t="str">
        <f>"00664045"</f>
        <v>00664045</v>
      </c>
    </row>
    <row r="8179" spans="1:2" x14ac:dyDescent="0.25">
      <c r="A8179" s="4">
        <v>8174</v>
      </c>
      <c r="B8179" s="3" t="str">
        <f>"00664057"</f>
        <v>00664057</v>
      </c>
    </row>
    <row r="8180" spans="1:2" x14ac:dyDescent="0.25">
      <c r="A8180" s="4">
        <v>8175</v>
      </c>
      <c r="B8180" s="3" t="str">
        <f>"00664077"</f>
        <v>00664077</v>
      </c>
    </row>
    <row r="8181" spans="1:2" x14ac:dyDescent="0.25">
      <c r="A8181" s="4">
        <v>8176</v>
      </c>
      <c r="B8181" s="3" t="str">
        <f>"00664084"</f>
        <v>00664084</v>
      </c>
    </row>
    <row r="8182" spans="1:2" x14ac:dyDescent="0.25">
      <c r="A8182" s="4">
        <v>8177</v>
      </c>
      <c r="B8182" s="3" t="str">
        <f>"00664095"</f>
        <v>00664095</v>
      </c>
    </row>
    <row r="8183" spans="1:2" x14ac:dyDescent="0.25">
      <c r="A8183" s="4">
        <v>8178</v>
      </c>
      <c r="B8183" s="3" t="str">
        <f>"00664152"</f>
        <v>00664152</v>
      </c>
    </row>
    <row r="8184" spans="1:2" x14ac:dyDescent="0.25">
      <c r="A8184" s="4">
        <v>8179</v>
      </c>
      <c r="B8184" s="3" t="str">
        <f>"00664154"</f>
        <v>00664154</v>
      </c>
    </row>
    <row r="8185" spans="1:2" x14ac:dyDescent="0.25">
      <c r="A8185" s="4">
        <v>8180</v>
      </c>
      <c r="B8185" s="3" t="str">
        <f>"00664169"</f>
        <v>00664169</v>
      </c>
    </row>
    <row r="8186" spans="1:2" x14ac:dyDescent="0.25">
      <c r="A8186" s="4">
        <v>8181</v>
      </c>
      <c r="B8186" s="3" t="str">
        <f>"00664189"</f>
        <v>00664189</v>
      </c>
    </row>
    <row r="8187" spans="1:2" x14ac:dyDescent="0.25">
      <c r="A8187" s="4">
        <v>8182</v>
      </c>
      <c r="B8187" s="3" t="str">
        <f>"00664191"</f>
        <v>00664191</v>
      </c>
    </row>
    <row r="8188" spans="1:2" x14ac:dyDescent="0.25">
      <c r="A8188" s="4">
        <v>8183</v>
      </c>
      <c r="B8188" s="3" t="str">
        <f>"00664197"</f>
        <v>00664197</v>
      </c>
    </row>
    <row r="8189" spans="1:2" x14ac:dyDescent="0.25">
      <c r="A8189" s="4">
        <v>8184</v>
      </c>
      <c r="B8189" s="3" t="str">
        <f>"00664210"</f>
        <v>00664210</v>
      </c>
    </row>
    <row r="8190" spans="1:2" x14ac:dyDescent="0.25">
      <c r="A8190" s="4">
        <v>8185</v>
      </c>
      <c r="B8190" s="3" t="str">
        <f>"00664229"</f>
        <v>00664229</v>
      </c>
    </row>
    <row r="8191" spans="1:2" x14ac:dyDescent="0.25">
      <c r="A8191" s="4">
        <v>8186</v>
      </c>
      <c r="B8191" s="3" t="str">
        <f>"00664236"</f>
        <v>00664236</v>
      </c>
    </row>
    <row r="8192" spans="1:2" x14ac:dyDescent="0.25">
      <c r="A8192" s="4">
        <v>8187</v>
      </c>
      <c r="B8192" s="3" t="str">
        <f>"00664252"</f>
        <v>00664252</v>
      </c>
    </row>
    <row r="8193" spans="1:2" x14ac:dyDescent="0.25">
      <c r="A8193" s="4">
        <v>8188</v>
      </c>
      <c r="B8193" s="3" t="str">
        <f>"00664260"</f>
        <v>00664260</v>
      </c>
    </row>
    <row r="8194" spans="1:2" x14ac:dyDescent="0.25">
      <c r="A8194" s="4">
        <v>8189</v>
      </c>
      <c r="B8194" s="3" t="str">
        <f>"00664266"</f>
        <v>00664266</v>
      </c>
    </row>
    <row r="8195" spans="1:2" x14ac:dyDescent="0.25">
      <c r="A8195" s="4">
        <v>8190</v>
      </c>
      <c r="B8195" s="3" t="str">
        <f>"00664273"</f>
        <v>00664273</v>
      </c>
    </row>
    <row r="8196" spans="1:2" x14ac:dyDescent="0.25">
      <c r="A8196" s="4">
        <v>8191</v>
      </c>
      <c r="B8196" s="3" t="str">
        <f>"00664274"</f>
        <v>00664274</v>
      </c>
    </row>
    <row r="8197" spans="1:2" x14ac:dyDescent="0.25">
      <c r="A8197" s="4">
        <v>8192</v>
      </c>
      <c r="B8197" s="3" t="str">
        <f>"00664276"</f>
        <v>00664276</v>
      </c>
    </row>
    <row r="8198" spans="1:2" x14ac:dyDescent="0.25">
      <c r="A8198" s="4">
        <v>8193</v>
      </c>
      <c r="B8198" s="3" t="str">
        <f>"00664279"</f>
        <v>00664279</v>
      </c>
    </row>
    <row r="8199" spans="1:2" x14ac:dyDescent="0.25">
      <c r="A8199" s="4">
        <v>8194</v>
      </c>
      <c r="B8199" s="3" t="str">
        <f>"00664280"</f>
        <v>00664280</v>
      </c>
    </row>
    <row r="8200" spans="1:2" x14ac:dyDescent="0.25">
      <c r="A8200" s="4">
        <v>8195</v>
      </c>
      <c r="B8200" s="3" t="str">
        <f>"00664281"</f>
        <v>00664281</v>
      </c>
    </row>
    <row r="8201" spans="1:2" x14ac:dyDescent="0.25">
      <c r="A8201" s="4">
        <v>8196</v>
      </c>
      <c r="B8201" s="3" t="str">
        <f>"00664284"</f>
        <v>00664284</v>
      </c>
    </row>
    <row r="8202" spans="1:2" x14ac:dyDescent="0.25">
      <c r="A8202" s="4">
        <v>8197</v>
      </c>
      <c r="B8202" s="3" t="str">
        <f>"00664287"</f>
        <v>00664287</v>
      </c>
    </row>
    <row r="8203" spans="1:2" x14ac:dyDescent="0.25">
      <c r="A8203" s="4">
        <v>8198</v>
      </c>
      <c r="B8203" s="3" t="str">
        <f>"00664302"</f>
        <v>00664302</v>
      </c>
    </row>
    <row r="8204" spans="1:2" x14ac:dyDescent="0.25">
      <c r="A8204" s="4">
        <v>8199</v>
      </c>
      <c r="B8204" s="3" t="str">
        <f>"00664306"</f>
        <v>00664306</v>
      </c>
    </row>
    <row r="8205" spans="1:2" x14ac:dyDescent="0.25">
      <c r="A8205" s="4">
        <v>8200</v>
      </c>
      <c r="B8205" s="3" t="str">
        <f>"00664309"</f>
        <v>00664309</v>
      </c>
    </row>
    <row r="8206" spans="1:2" x14ac:dyDescent="0.25">
      <c r="A8206" s="4">
        <v>8201</v>
      </c>
      <c r="B8206" s="3" t="str">
        <f>"00664313"</f>
        <v>00664313</v>
      </c>
    </row>
    <row r="8207" spans="1:2" x14ac:dyDescent="0.25">
      <c r="A8207" s="4">
        <v>8202</v>
      </c>
      <c r="B8207" s="3" t="str">
        <f>"00664316"</f>
        <v>00664316</v>
      </c>
    </row>
    <row r="8208" spans="1:2" x14ac:dyDescent="0.25">
      <c r="A8208" s="4">
        <v>8203</v>
      </c>
      <c r="B8208" s="3" t="str">
        <f>"00664317"</f>
        <v>00664317</v>
      </c>
    </row>
    <row r="8209" spans="1:2" x14ac:dyDescent="0.25">
      <c r="A8209" s="4">
        <v>8204</v>
      </c>
      <c r="B8209" s="3" t="str">
        <f>"00664348"</f>
        <v>00664348</v>
      </c>
    </row>
    <row r="8210" spans="1:2" x14ac:dyDescent="0.25">
      <c r="A8210" s="4">
        <v>8205</v>
      </c>
      <c r="B8210" s="3" t="str">
        <f>"00664353"</f>
        <v>00664353</v>
      </c>
    </row>
    <row r="8211" spans="1:2" x14ac:dyDescent="0.25">
      <c r="A8211" s="4">
        <v>8206</v>
      </c>
      <c r="B8211" s="3" t="str">
        <f>"00664359"</f>
        <v>00664359</v>
      </c>
    </row>
    <row r="8212" spans="1:2" x14ac:dyDescent="0.25">
      <c r="A8212" s="4">
        <v>8207</v>
      </c>
      <c r="B8212" s="3" t="str">
        <f>"00664377"</f>
        <v>00664377</v>
      </c>
    </row>
    <row r="8213" spans="1:2" x14ac:dyDescent="0.25">
      <c r="A8213" s="4">
        <v>8208</v>
      </c>
      <c r="B8213" s="3" t="str">
        <f>"00664381"</f>
        <v>00664381</v>
      </c>
    </row>
    <row r="8214" spans="1:2" x14ac:dyDescent="0.25">
      <c r="A8214" s="4">
        <v>8209</v>
      </c>
      <c r="B8214" s="3" t="str">
        <f>"00664391"</f>
        <v>00664391</v>
      </c>
    </row>
    <row r="8215" spans="1:2" x14ac:dyDescent="0.25">
      <c r="A8215" s="4">
        <v>8210</v>
      </c>
      <c r="B8215" s="3" t="str">
        <f>"00664394"</f>
        <v>00664394</v>
      </c>
    </row>
    <row r="8216" spans="1:2" x14ac:dyDescent="0.25">
      <c r="A8216" s="4">
        <v>8211</v>
      </c>
      <c r="B8216" s="3" t="str">
        <f>"00664396"</f>
        <v>00664396</v>
      </c>
    </row>
    <row r="8217" spans="1:2" x14ac:dyDescent="0.25">
      <c r="A8217" s="4">
        <v>8212</v>
      </c>
      <c r="B8217" s="3" t="str">
        <f>"00664415"</f>
        <v>00664415</v>
      </c>
    </row>
    <row r="8218" spans="1:2" x14ac:dyDescent="0.25">
      <c r="A8218" s="4">
        <v>8213</v>
      </c>
      <c r="B8218" s="3" t="str">
        <f>"00664431"</f>
        <v>00664431</v>
      </c>
    </row>
    <row r="8219" spans="1:2" x14ac:dyDescent="0.25">
      <c r="A8219" s="4">
        <v>8214</v>
      </c>
      <c r="B8219" s="3" t="str">
        <f>"00664432"</f>
        <v>00664432</v>
      </c>
    </row>
    <row r="8220" spans="1:2" x14ac:dyDescent="0.25">
      <c r="A8220" s="4">
        <v>8215</v>
      </c>
      <c r="B8220" s="3" t="str">
        <f>"00664434"</f>
        <v>00664434</v>
      </c>
    </row>
    <row r="8221" spans="1:2" x14ac:dyDescent="0.25">
      <c r="A8221" s="4">
        <v>8216</v>
      </c>
      <c r="B8221" s="3" t="str">
        <f>"00664437"</f>
        <v>00664437</v>
      </c>
    </row>
    <row r="8222" spans="1:2" x14ac:dyDescent="0.25">
      <c r="A8222" s="4">
        <v>8217</v>
      </c>
      <c r="B8222" s="3" t="str">
        <f>"00664444"</f>
        <v>00664444</v>
      </c>
    </row>
    <row r="8223" spans="1:2" x14ac:dyDescent="0.25">
      <c r="A8223" s="4">
        <v>8218</v>
      </c>
      <c r="B8223" s="3" t="str">
        <f>"00664447"</f>
        <v>00664447</v>
      </c>
    </row>
    <row r="8224" spans="1:2" x14ac:dyDescent="0.25">
      <c r="A8224" s="4">
        <v>8219</v>
      </c>
      <c r="B8224" s="3" t="str">
        <f>"00664453"</f>
        <v>00664453</v>
      </c>
    </row>
    <row r="8225" spans="1:2" x14ac:dyDescent="0.25">
      <c r="A8225" s="4">
        <v>8220</v>
      </c>
      <c r="B8225" s="3" t="str">
        <f>"00664463"</f>
        <v>00664463</v>
      </c>
    </row>
    <row r="8226" spans="1:2" x14ac:dyDescent="0.25">
      <c r="A8226" s="4">
        <v>8221</v>
      </c>
      <c r="B8226" s="3" t="str">
        <f>"00664479"</f>
        <v>00664479</v>
      </c>
    </row>
    <row r="8227" spans="1:2" x14ac:dyDescent="0.25">
      <c r="A8227" s="4">
        <v>8222</v>
      </c>
      <c r="B8227" s="3" t="str">
        <f>"00664488"</f>
        <v>00664488</v>
      </c>
    </row>
    <row r="8228" spans="1:2" x14ac:dyDescent="0.25">
      <c r="A8228" s="4">
        <v>8223</v>
      </c>
      <c r="B8228" s="3" t="str">
        <f>"00664494"</f>
        <v>00664494</v>
      </c>
    </row>
    <row r="8229" spans="1:2" x14ac:dyDescent="0.25">
      <c r="A8229" s="4">
        <v>8224</v>
      </c>
      <c r="B8229" s="3" t="str">
        <f>"00664504"</f>
        <v>00664504</v>
      </c>
    </row>
    <row r="8230" spans="1:2" x14ac:dyDescent="0.25">
      <c r="A8230" s="4">
        <v>8225</v>
      </c>
      <c r="B8230" s="3" t="str">
        <f>"00664509"</f>
        <v>00664509</v>
      </c>
    </row>
    <row r="8231" spans="1:2" x14ac:dyDescent="0.25">
      <c r="A8231" s="4">
        <v>8226</v>
      </c>
      <c r="B8231" s="3" t="str">
        <f>"00664516"</f>
        <v>00664516</v>
      </c>
    </row>
    <row r="8232" spans="1:2" x14ac:dyDescent="0.25">
      <c r="A8232" s="4">
        <v>8227</v>
      </c>
      <c r="B8232" s="3" t="str">
        <f>"00664526"</f>
        <v>00664526</v>
      </c>
    </row>
    <row r="8233" spans="1:2" x14ac:dyDescent="0.25">
      <c r="A8233" s="4">
        <v>8228</v>
      </c>
      <c r="B8233" s="3" t="str">
        <f>"00664531"</f>
        <v>00664531</v>
      </c>
    </row>
    <row r="8234" spans="1:2" x14ac:dyDescent="0.25">
      <c r="A8234" s="4">
        <v>8229</v>
      </c>
      <c r="B8234" s="3" t="str">
        <f>"00664533"</f>
        <v>00664533</v>
      </c>
    </row>
    <row r="8235" spans="1:2" x14ac:dyDescent="0.25">
      <c r="A8235" s="4">
        <v>8230</v>
      </c>
      <c r="B8235" s="3" t="str">
        <f>"00664537"</f>
        <v>00664537</v>
      </c>
    </row>
    <row r="8236" spans="1:2" x14ac:dyDescent="0.25">
      <c r="A8236" s="4">
        <v>8231</v>
      </c>
      <c r="B8236" s="3" t="str">
        <f>"00664539"</f>
        <v>00664539</v>
      </c>
    </row>
    <row r="8237" spans="1:2" x14ac:dyDescent="0.25">
      <c r="A8237" s="4">
        <v>8232</v>
      </c>
      <c r="B8237" s="3" t="str">
        <f>"00664561"</f>
        <v>00664561</v>
      </c>
    </row>
    <row r="8238" spans="1:2" x14ac:dyDescent="0.25">
      <c r="A8238" s="4">
        <v>8233</v>
      </c>
      <c r="B8238" s="3" t="str">
        <f>"00664589"</f>
        <v>00664589</v>
      </c>
    </row>
    <row r="8239" spans="1:2" x14ac:dyDescent="0.25">
      <c r="A8239" s="4">
        <v>8234</v>
      </c>
      <c r="B8239" s="3" t="str">
        <f>"00664598"</f>
        <v>00664598</v>
      </c>
    </row>
    <row r="8240" spans="1:2" x14ac:dyDescent="0.25">
      <c r="A8240" s="4">
        <v>8235</v>
      </c>
      <c r="B8240" s="3" t="str">
        <f>"00664610"</f>
        <v>00664610</v>
      </c>
    </row>
    <row r="8241" spans="1:2" x14ac:dyDescent="0.25">
      <c r="A8241" s="4">
        <v>8236</v>
      </c>
      <c r="B8241" s="3" t="str">
        <f>"00664611"</f>
        <v>00664611</v>
      </c>
    </row>
    <row r="8242" spans="1:2" x14ac:dyDescent="0.25">
      <c r="A8242" s="4">
        <v>8237</v>
      </c>
      <c r="B8242" s="3" t="str">
        <f>"00664615"</f>
        <v>00664615</v>
      </c>
    </row>
    <row r="8243" spans="1:2" x14ac:dyDescent="0.25">
      <c r="A8243" s="4">
        <v>8238</v>
      </c>
      <c r="B8243" s="3" t="str">
        <f>"00664616"</f>
        <v>00664616</v>
      </c>
    </row>
    <row r="8244" spans="1:2" x14ac:dyDescent="0.25">
      <c r="A8244" s="4">
        <v>8239</v>
      </c>
      <c r="B8244" s="3" t="str">
        <f>"00664683"</f>
        <v>00664683</v>
      </c>
    </row>
    <row r="8245" spans="1:2" x14ac:dyDescent="0.25">
      <c r="A8245" s="4">
        <v>8240</v>
      </c>
      <c r="B8245" s="3" t="str">
        <f>"00664686"</f>
        <v>00664686</v>
      </c>
    </row>
    <row r="8246" spans="1:2" x14ac:dyDescent="0.25">
      <c r="A8246" s="4">
        <v>8241</v>
      </c>
      <c r="B8246" s="3" t="str">
        <f>"00664702"</f>
        <v>00664702</v>
      </c>
    </row>
    <row r="8247" spans="1:2" x14ac:dyDescent="0.25">
      <c r="A8247" s="4">
        <v>8242</v>
      </c>
      <c r="B8247" s="3" t="str">
        <f>"00664706"</f>
        <v>00664706</v>
      </c>
    </row>
    <row r="8248" spans="1:2" x14ac:dyDescent="0.25">
      <c r="A8248" s="4">
        <v>8243</v>
      </c>
      <c r="B8248" s="3" t="str">
        <f>"00664710"</f>
        <v>00664710</v>
      </c>
    </row>
    <row r="8249" spans="1:2" x14ac:dyDescent="0.25">
      <c r="A8249" s="4">
        <v>8244</v>
      </c>
      <c r="B8249" s="3" t="str">
        <f>"00664718"</f>
        <v>00664718</v>
      </c>
    </row>
    <row r="8250" spans="1:2" x14ac:dyDescent="0.25">
      <c r="A8250" s="4">
        <v>8245</v>
      </c>
      <c r="B8250" s="3" t="str">
        <f>"00664721"</f>
        <v>00664721</v>
      </c>
    </row>
    <row r="8251" spans="1:2" x14ac:dyDescent="0.25">
      <c r="A8251" s="4">
        <v>8246</v>
      </c>
      <c r="B8251" s="3" t="str">
        <f>"00664730"</f>
        <v>00664730</v>
      </c>
    </row>
    <row r="8252" spans="1:2" x14ac:dyDescent="0.25">
      <c r="A8252" s="4">
        <v>8247</v>
      </c>
      <c r="B8252" s="3" t="str">
        <f>"00664734"</f>
        <v>00664734</v>
      </c>
    </row>
    <row r="8253" spans="1:2" x14ac:dyDescent="0.25">
      <c r="A8253" s="4">
        <v>8248</v>
      </c>
      <c r="B8253" s="3" t="str">
        <f>"00664753"</f>
        <v>00664753</v>
      </c>
    </row>
    <row r="8254" spans="1:2" x14ac:dyDescent="0.25">
      <c r="A8254" s="4">
        <v>8249</v>
      </c>
      <c r="B8254" s="3" t="str">
        <f>"00664757"</f>
        <v>00664757</v>
      </c>
    </row>
    <row r="8255" spans="1:2" x14ac:dyDescent="0.25">
      <c r="A8255" s="4">
        <v>8250</v>
      </c>
      <c r="B8255" s="3" t="str">
        <f>"00664761"</f>
        <v>00664761</v>
      </c>
    </row>
    <row r="8256" spans="1:2" x14ac:dyDescent="0.25">
      <c r="A8256" s="4">
        <v>8251</v>
      </c>
      <c r="B8256" s="3" t="str">
        <f>"00664777"</f>
        <v>00664777</v>
      </c>
    </row>
    <row r="8257" spans="1:2" x14ac:dyDescent="0.25">
      <c r="A8257" s="4">
        <v>8252</v>
      </c>
      <c r="B8257" s="3" t="str">
        <f>"00664778"</f>
        <v>00664778</v>
      </c>
    </row>
    <row r="8258" spans="1:2" x14ac:dyDescent="0.25">
      <c r="A8258" s="4">
        <v>8253</v>
      </c>
      <c r="B8258" s="3" t="str">
        <f>"00664798"</f>
        <v>00664798</v>
      </c>
    </row>
    <row r="8259" spans="1:2" x14ac:dyDescent="0.25">
      <c r="A8259" s="4">
        <v>8254</v>
      </c>
      <c r="B8259" s="3" t="str">
        <f>"00664808"</f>
        <v>00664808</v>
      </c>
    </row>
    <row r="8260" spans="1:2" x14ac:dyDescent="0.25">
      <c r="A8260" s="4">
        <v>8255</v>
      </c>
      <c r="B8260" s="3" t="str">
        <f>"00664810"</f>
        <v>00664810</v>
      </c>
    </row>
    <row r="8261" spans="1:2" x14ac:dyDescent="0.25">
      <c r="A8261" s="4">
        <v>8256</v>
      </c>
      <c r="B8261" s="3" t="str">
        <f>"00664813"</f>
        <v>00664813</v>
      </c>
    </row>
    <row r="8262" spans="1:2" x14ac:dyDescent="0.25">
      <c r="A8262" s="4">
        <v>8257</v>
      </c>
      <c r="B8262" s="3" t="str">
        <f>"00664828"</f>
        <v>00664828</v>
      </c>
    </row>
    <row r="8263" spans="1:2" x14ac:dyDescent="0.25">
      <c r="A8263" s="4">
        <v>8258</v>
      </c>
      <c r="B8263" s="3" t="str">
        <f>"00664831"</f>
        <v>00664831</v>
      </c>
    </row>
    <row r="8264" spans="1:2" x14ac:dyDescent="0.25">
      <c r="A8264" s="4">
        <v>8259</v>
      </c>
      <c r="B8264" s="3" t="str">
        <f>"00664837"</f>
        <v>00664837</v>
      </c>
    </row>
    <row r="8265" spans="1:2" x14ac:dyDescent="0.25">
      <c r="A8265" s="4">
        <v>8260</v>
      </c>
      <c r="B8265" s="3" t="str">
        <f>"00664843"</f>
        <v>00664843</v>
      </c>
    </row>
    <row r="8266" spans="1:2" x14ac:dyDescent="0.25">
      <c r="A8266" s="4">
        <v>8261</v>
      </c>
      <c r="B8266" s="3" t="str">
        <f>"00664846"</f>
        <v>00664846</v>
      </c>
    </row>
    <row r="8267" spans="1:2" x14ac:dyDescent="0.25">
      <c r="A8267" s="4">
        <v>8262</v>
      </c>
      <c r="B8267" s="3" t="str">
        <f>"00664866"</f>
        <v>00664866</v>
      </c>
    </row>
    <row r="8268" spans="1:2" x14ac:dyDescent="0.25">
      <c r="A8268" s="4">
        <v>8263</v>
      </c>
      <c r="B8268" s="3" t="str">
        <f>"00664869"</f>
        <v>00664869</v>
      </c>
    </row>
    <row r="8269" spans="1:2" x14ac:dyDescent="0.25">
      <c r="A8269" s="4">
        <v>8264</v>
      </c>
      <c r="B8269" s="3" t="str">
        <f>"00664871"</f>
        <v>00664871</v>
      </c>
    </row>
    <row r="8270" spans="1:2" x14ac:dyDescent="0.25">
      <c r="A8270" s="4">
        <v>8265</v>
      </c>
      <c r="B8270" s="3" t="str">
        <f>"00664891"</f>
        <v>00664891</v>
      </c>
    </row>
    <row r="8271" spans="1:2" x14ac:dyDescent="0.25">
      <c r="A8271" s="4">
        <v>8266</v>
      </c>
      <c r="B8271" s="3" t="str">
        <f>"00664904"</f>
        <v>00664904</v>
      </c>
    </row>
    <row r="8272" spans="1:2" x14ac:dyDescent="0.25">
      <c r="A8272" s="4">
        <v>8267</v>
      </c>
      <c r="B8272" s="3" t="str">
        <f>"00664905"</f>
        <v>00664905</v>
      </c>
    </row>
    <row r="8273" spans="1:2" x14ac:dyDescent="0.25">
      <c r="A8273" s="4">
        <v>8268</v>
      </c>
      <c r="B8273" s="3" t="str">
        <f>"00664917"</f>
        <v>00664917</v>
      </c>
    </row>
    <row r="8274" spans="1:2" x14ac:dyDescent="0.25">
      <c r="A8274" s="4">
        <v>8269</v>
      </c>
      <c r="B8274" s="3" t="str">
        <f>"00664926"</f>
        <v>00664926</v>
      </c>
    </row>
    <row r="8275" spans="1:2" x14ac:dyDescent="0.25">
      <c r="A8275" s="4">
        <v>8270</v>
      </c>
      <c r="B8275" s="3" t="str">
        <f>"00664928"</f>
        <v>00664928</v>
      </c>
    </row>
    <row r="8276" spans="1:2" x14ac:dyDescent="0.25">
      <c r="A8276" s="4">
        <v>8271</v>
      </c>
      <c r="B8276" s="3" t="str">
        <f>"00664942"</f>
        <v>00664942</v>
      </c>
    </row>
    <row r="8277" spans="1:2" x14ac:dyDescent="0.25">
      <c r="A8277" s="4">
        <v>8272</v>
      </c>
      <c r="B8277" s="3" t="str">
        <f>"00664943"</f>
        <v>00664943</v>
      </c>
    </row>
    <row r="8278" spans="1:2" x14ac:dyDescent="0.25">
      <c r="A8278" s="4">
        <v>8273</v>
      </c>
      <c r="B8278" s="3" t="str">
        <f>"00664945"</f>
        <v>00664945</v>
      </c>
    </row>
    <row r="8279" spans="1:2" x14ac:dyDescent="0.25">
      <c r="A8279" s="4">
        <v>8274</v>
      </c>
      <c r="B8279" s="3" t="str">
        <f>"00664947"</f>
        <v>00664947</v>
      </c>
    </row>
    <row r="8280" spans="1:2" x14ac:dyDescent="0.25">
      <c r="A8280" s="4">
        <v>8275</v>
      </c>
      <c r="B8280" s="3" t="str">
        <f>"00664955"</f>
        <v>00664955</v>
      </c>
    </row>
    <row r="8281" spans="1:2" x14ac:dyDescent="0.25">
      <c r="A8281" s="4">
        <v>8276</v>
      </c>
      <c r="B8281" s="3" t="str">
        <f>"00664973"</f>
        <v>00664973</v>
      </c>
    </row>
    <row r="8282" spans="1:2" x14ac:dyDescent="0.25">
      <c r="A8282" s="4">
        <v>8277</v>
      </c>
      <c r="B8282" s="3" t="str">
        <f>"00664979"</f>
        <v>00664979</v>
      </c>
    </row>
    <row r="8283" spans="1:2" x14ac:dyDescent="0.25">
      <c r="A8283" s="4">
        <v>8278</v>
      </c>
      <c r="B8283" s="3" t="str">
        <f>"00664987"</f>
        <v>00664987</v>
      </c>
    </row>
    <row r="8284" spans="1:2" x14ac:dyDescent="0.25">
      <c r="A8284" s="4">
        <v>8279</v>
      </c>
      <c r="B8284" s="3" t="str">
        <f>"00664996"</f>
        <v>00664996</v>
      </c>
    </row>
    <row r="8285" spans="1:2" x14ac:dyDescent="0.25">
      <c r="A8285" s="4">
        <v>8280</v>
      </c>
      <c r="B8285" s="3" t="str">
        <f>"00664997"</f>
        <v>00664997</v>
      </c>
    </row>
    <row r="8286" spans="1:2" x14ac:dyDescent="0.25">
      <c r="A8286" s="4">
        <v>8281</v>
      </c>
      <c r="B8286" s="3" t="str">
        <f>"00665000"</f>
        <v>00665000</v>
      </c>
    </row>
    <row r="8287" spans="1:2" x14ac:dyDescent="0.25">
      <c r="A8287" s="4">
        <v>8282</v>
      </c>
      <c r="B8287" s="3" t="str">
        <f>"00665009"</f>
        <v>00665009</v>
      </c>
    </row>
    <row r="8288" spans="1:2" x14ac:dyDescent="0.25">
      <c r="A8288" s="4">
        <v>8283</v>
      </c>
      <c r="B8288" s="3" t="str">
        <f>"00665019"</f>
        <v>00665019</v>
      </c>
    </row>
    <row r="8289" spans="1:2" x14ac:dyDescent="0.25">
      <c r="A8289" s="4">
        <v>8284</v>
      </c>
      <c r="B8289" s="3" t="str">
        <f>"00665021"</f>
        <v>00665021</v>
      </c>
    </row>
    <row r="8290" spans="1:2" x14ac:dyDescent="0.25">
      <c r="A8290" s="4">
        <v>8285</v>
      </c>
      <c r="B8290" s="3" t="str">
        <f>"00665024"</f>
        <v>00665024</v>
      </c>
    </row>
    <row r="8291" spans="1:2" x14ac:dyDescent="0.25">
      <c r="A8291" s="4">
        <v>8286</v>
      </c>
      <c r="B8291" s="3" t="str">
        <f>"00665039"</f>
        <v>00665039</v>
      </c>
    </row>
    <row r="8292" spans="1:2" x14ac:dyDescent="0.25">
      <c r="A8292" s="4">
        <v>8287</v>
      </c>
      <c r="B8292" s="3" t="str">
        <f>"00665044"</f>
        <v>00665044</v>
      </c>
    </row>
    <row r="8293" spans="1:2" x14ac:dyDescent="0.25">
      <c r="A8293" s="4">
        <v>8288</v>
      </c>
      <c r="B8293" s="3" t="str">
        <f>"00665047"</f>
        <v>00665047</v>
      </c>
    </row>
    <row r="8294" spans="1:2" x14ac:dyDescent="0.25">
      <c r="A8294" s="4">
        <v>8289</v>
      </c>
      <c r="B8294" s="3" t="str">
        <f>"00665050"</f>
        <v>00665050</v>
      </c>
    </row>
    <row r="8295" spans="1:2" x14ac:dyDescent="0.25">
      <c r="A8295" s="4">
        <v>8290</v>
      </c>
      <c r="B8295" s="3" t="str">
        <f>"00665066"</f>
        <v>00665066</v>
      </c>
    </row>
    <row r="8296" spans="1:2" x14ac:dyDescent="0.25">
      <c r="A8296" s="4">
        <v>8291</v>
      </c>
      <c r="B8296" s="3" t="str">
        <f>"00665068"</f>
        <v>00665068</v>
      </c>
    </row>
    <row r="8297" spans="1:2" x14ac:dyDescent="0.25">
      <c r="A8297" s="4">
        <v>8292</v>
      </c>
      <c r="B8297" s="3" t="str">
        <f>"00665069"</f>
        <v>00665069</v>
      </c>
    </row>
    <row r="8298" spans="1:2" x14ac:dyDescent="0.25">
      <c r="A8298" s="4">
        <v>8293</v>
      </c>
      <c r="B8298" s="3" t="str">
        <f>"00665070"</f>
        <v>00665070</v>
      </c>
    </row>
    <row r="8299" spans="1:2" x14ac:dyDescent="0.25">
      <c r="A8299" s="4">
        <v>8294</v>
      </c>
      <c r="B8299" s="3" t="str">
        <f>"00665073"</f>
        <v>00665073</v>
      </c>
    </row>
    <row r="8300" spans="1:2" x14ac:dyDescent="0.25">
      <c r="A8300" s="4">
        <v>8295</v>
      </c>
      <c r="B8300" s="3" t="str">
        <f>"00665077"</f>
        <v>00665077</v>
      </c>
    </row>
    <row r="8301" spans="1:2" x14ac:dyDescent="0.25">
      <c r="A8301" s="4">
        <v>8296</v>
      </c>
      <c r="B8301" s="3" t="str">
        <f>"00665078"</f>
        <v>00665078</v>
      </c>
    </row>
    <row r="8302" spans="1:2" x14ac:dyDescent="0.25">
      <c r="A8302" s="4">
        <v>8297</v>
      </c>
      <c r="B8302" s="3" t="str">
        <f>"00665085"</f>
        <v>00665085</v>
      </c>
    </row>
    <row r="8303" spans="1:2" x14ac:dyDescent="0.25">
      <c r="A8303" s="4">
        <v>8298</v>
      </c>
      <c r="B8303" s="3" t="str">
        <f>"00665096"</f>
        <v>00665096</v>
      </c>
    </row>
    <row r="8304" spans="1:2" x14ac:dyDescent="0.25">
      <c r="A8304" s="4">
        <v>8299</v>
      </c>
      <c r="B8304" s="3" t="str">
        <f>"00665152"</f>
        <v>00665152</v>
      </c>
    </row>
    <row r="8305" spans="1:2" x14ac:dyDescent="0.25">
      <c r="A8305" s="4">
        <v>8300</v>
      </c>
      <c r="B8305" s="3" t="str">
        <f>"00665156"</f>
        <v>00665156</v>
      </c>
    </row>
    <row r="8306" spans="1:2" x14ac:dyDescent="0.25">
      <c r="A8306" s="4">
        <v>8301</v>
      </c>
      <c r="B8306" s="3" t="str">
        <f>"00665166"</f>
        <v>00665166</v>
      </c>
    </row>
    <row r="8307" spans="1:2" x14ac:dyDescent="0.25">
      <c r="A8307" s="4">
        <v>8302</v>
      </c>
      <c r="B8307" s="3" t="str">
        <f>"00665168"</f>
        <v>00665168</v>
      </c>
    </row>
    <row r="8308" spans="1:2" x14ac:dyDescent="0.25">
      <c r="A8308" s="4">
        <v>8303</v>
      </c>
      <c r="B8308" s="3" t="str">
        <f>"00665205"</f>
        <v>00665205</v>
      </c>
    </row>
    <row r="8309" spans="1:2" x14ac:dyDescent="0.25">
      <c r="A8309" s="4">
        <v>8304</v>
      </c>
      <c r="B8309" s="3" t="str">
        <f>"00665219"</f>
        <v>00665219</v>
      </c>
    </row>
    <row r="8310" spans="1:2" x14ac:dyDescent="0.25">
      <c r="A8310" s="4">
        <v>8305</v>
      </c>
      <c r="B8310" s="3" t="str">
        <f>"00665230"</f>
        <v>00665230</v>
      </c>
    </row>
    <row r="8311" spans="1:2" x14ac:dyDescent="0.25">
      <c r="A8311" s="4">
        <v>8306</v>
      </c>
      <c r="B8311" s="3" t="str">
        <f>"00665231"</f>
        <v>00665231</v>
      </c>
    </row>
    <row r="8312" spans="1:2" x14ac:dyDescent="0.25">
      <c r="A8312" s="4">
        <v>8307</v>
      </c>
      <c r="B8312" s="3" t="str">
        <f>"00665232"</f>
        <v>00665232</v>
      </c>
    </row>
    <row r="8313" spans="1:2" x14ac:dyDescent="0.25">
      <c r="A8313" s="4">
        <v>8308</v>
      </c>
      <c r="B8313" s="3" t="str">
        <f>"00665236"</f>
        <v>00665236</v>
      </c>
    </row>
    <row r="8314" spans="1:2" x14ac:dyDescent="0.25">
      <c r="A8314" s="4">
        <v>8309</v>
      </c>
      <c r="B8314" s="3" t="str">
        <f>"00665237"</f>
        <v>00665237</v>
      </c>
    </row>
    <row r="8315" spans="1:2" x14ac:dyDescent="0.25">
      <c r="A8315" s="4">
        <v>8310</v>
      </c>
      <c r="B8315" s="3" t="str">
        <f>"00665243"</f>
        <v>00665243</v>
      </c>
    </row>
    <row r="8316" spans="1:2" x14ac:dyDescent="0.25">
      <c r="A8316" s="4">
        <v>8311</v>
      </c>
      <c r="B8316" s="3" t="str">
        <f>"00665271"</f>
        <v>00665271</v>
      </c>
    </row>
    <row r="8317" spans="1:2" x14ac:dyDescent="0.25">
      <c r="A8317" s="4">
        <v>8312</v>
      </c>
      <c r="B8317" s="3" t="str">
        <f>"00665280"</f>
        <v>00665280</v>
      </c>
    </row>
    <row r="8318" spans="1:2" x14ac:dyDescent="0.25">
      <c r="A8318" s="4">
        <v>8313</v>
      </c>
      <c r="B8318" s="3" t="str">
        <f>"00665292"</f>
        <v>00665292</v>
      </c>
    </row>
    <row r="8319" spans="1:2" x14ac:dyDescent="0.25">
      <c r="A8319" s="4">
        <v>8314</v>
      </c>
      <c r="B8319" s="3" t="str">
        <f>"00665299"</f>
        <v>00665299</v>
      </c>
    </row>
    <row r="8320" spans="1:2" x14ac:dyDescent="0.25">
      <c r="A8320" s="4">
        <v>8315</v>
      </c>
      <c r="B8320" s="3" t="str">
        <f>"00665306"</f>
        <v>00665306</v>
      </c>
    </row>
    <row r="8321" spans="1:2" x14ac:dyDescent="0.25">
      <c r="A8321" s="4">
        <v>8316</v>
      </c>
      <c r="B8321" s="3" t="str">
        <f>"00665308"</f>
        <v>00665308</v>
      </c>
    </row>
    <row r="8322" spans="1:2" x14ac:dyDescent="0.25">
      <c r="A8322" s="4">
        <v>8317</v>
      </c>
      <c r="B8322" s="3" t="str">
        <f>"00665314"</f>
        <v>00665314</v>
      </c>
    </row>
    <row r="8323" spans="1:2" x14ac:dyDescent="0.25">
      <c r="A8323" s="4">
        <v>8318</v>
      </c>
      <c r="B8323" s="3" t="str">
        <f>"00665316"</f>
        <v>00665316</v>
      </c>
    </row>
    <row r="8324" spans="1:2" x14ac:dyDescent="0.25">
      <c r="A8324" s="4">
        <v>8319</v>
      </c>
      <c r="B8324" s="3" t="str">
        <f>"00665336"</f>
        <v>00665336</v>
      </c>
    </row>
    <row r="8325" spans="1:2" x14ac:dyDescent="0.25">
      <c r="A8325" s="4">
        <v>8320</v>
      </c>
      <c r="B8325" s="3" t="str">
        <f>"00665340"</f>
        <v>00665340</v>
      </c>
    </row>
    <row r="8326" spans="1:2" x14ac:dyDescent="0.25">
      <c r="A8326" s="4">
        <v>8321</v>
      </c>
      <c r="B8326" s="3" t="str">
        <f>"00665345"</f>
        <v>00665345</v>
      </c>
    </row>
    <row r="8327" spans="1:2" x14ac:dyDescent="0.25">
      <c r="A8327" s="4">
        <v>8322</v>
      </c>
      <c r="B8327" s="3" t="str">
        <f>"00665359"</f>
        <v>00665359</v>
      </c>
    </row>
    <row r="8328" spans="1:2" x14ac:dyDescent="0.25">
      <c r="A8328" s="4">
        <v>8323</v>
      </c>
      <c r="B8328" s="3" t="str">
        <f>"00665366"</f>
        <v>00665366</v>
      </c>
    </row>
    <row r="8329" spans="1:2" x14ac:dyDescent="0.25">
      <c r="A8329" s="4">
        <v>8324</v>
      </c>
      <c r="B8329" s="3" t="str">
        <f>"00665375"</f>
        <v>00665375</v>
      </c>
    </row>
    <row r="8330" spans="1:2" x14ac:dyDescent="0.25">
      <c r="A8330" s="4">
        <v>8325</v>
      </c>
      <c r="B8330" s="3" t="str">
        <f>"00665386"</f>
        <v>00665386</v>
      </c>
    </row>
    <row r="8331" spans="1:2" x14ac:dyDescent="0.25">
      <c r="A8331" s="4">
        <v>8326</v>
      </c>
      <c r="B8331" s="3" t="str">
        <f>"00665391"</f>
        <v>00665391</v>
      </c>
    </row>
    <row r="8332" spans="1:2" x14ac:dyDescent="0.25">
      <c r="A8332" s="4">
        <v>8327</v>
      </c>
      <c r="B8332" s="3" t="str">
        <f>"00665409"</f>
        <v>00665409</v>
      </c>
    </row>
    <row r="8333" spans="1:2" x14ac:dyDescent="0.25">
      <c r="A8333" s="4">
        <v>8328</v>
      </c>
      <c r="B8333" s="3" t="str">
        <f>"00665413"</f>
        <v>00665413</v>
      </c>
    </row>
    <row r="8334" spans="1:2" x14ac:dyDescent="0.25">
      <c r="A8334" s="4">
        <v>8329</v>
      </c>
      <c r="B8334" s="3" t="str">
        <f>"00665430"</f>
        <v>00665430</v>
      </c>
    </row>
    <row r="8335" spans="1:2" x14ac:dyDescent="0.25">
      <c r="A8335" s="4">
        <v>8330</v>
      </c>
      <c r="B8335" s="3" t="str">
        <f>"00665449"</f>
        <v>00665449</v>
      </c>
    </row>
    <row r="8336" spans="1:2" x14ac:dyDescent="0.25">
      <c r="A8336" s="4">
        <v>8331</v>
      </c>
      <c r="B8336" s="3" t="str">
        <f>"00665456"</f>
        <v>00665456</v>
      </c>
    </row>
    <row r="8337" spans="1:2" x14ac:dyDescent="0.25">
      <c r="A8337" s="4">
        <v>8332</v>
      </c>
      <c r="B8337" s="3" t="str">
        <f>"00665467"</f>
        <v>00665467</v>
      </c>
    </row>
    <row r="8338" spans="1:2" x14ac:dyDescent="0.25">
      <c r="A8338" s="4">
        <v>8333</v>
      </c>
      <c r="B8338" s="3" t="str">
        <f>"00665471"</f>
        <v>00665471</v>
      </c>
    </row>
    <row r="8339" spans="1:2" x14ac:dyDescent="0.25">
      <c r="A8339" s="4">
        <v>8334</v>
      </c>
      <c r="B8339" s="3" t="str">
        <f>"00665475"</f>
        <v>00665475</v>
      </c>
    </row>
    <row r="8340" spans="1:2" x14ac:dyDescent="0.25">
      <c r="A8340" s="4">
        <v>8335</v>
      </c>
      <c r="B8340" s="3" t="str">
        <f>"00665476"</f>
        <v>00665476</v>
      </c>
    </row>
    <row r="8341" spans="1:2" x14ac:dyDescent="0.25">
      <c r="A8341" s="4">
        <v>8336</v>
      </c>
      <c r="B8341" s="3" t="str">
        <f>"00665479"</f>
        <v>00665479</v>
      </c>
    </row>
    <row r="8342" spans="1:2" x14ac:dyDescent="0.25">
      <c r="A8342" s="4">
        <v>8337</v>
      </c>
      <c r="B8342" s="3" t="str">
        <f>"00665484"</f>
        <v>00665484</v>
      </c>
    </row>
    <row r="8343" spans="1:2" x14ac:dyDescent="0.25">
      <c r="A8343" s="4">
        <v>8338</v>
      </c>
      <c r="B8343" s="3" t="str">
        <f>"00665485"</f>
        <v>00665485</v>
      </c>
    </row>
    <row r="8344" spans="1:2" x14ac:dyDescent="0.25">
      <c r="A8344" s="4">
        <v>8339</v>
      </c>
      <c r="B8344" s="3" t="str">
        <f>"00665487"</f>
        <v>00665487</v>
      </c>
    </row>
    <row r="8345" spans="1:2" x14ac:dyDescent="0.25">
      <c r="A8345" s="4">
        <v>8340</v>
      </c>
      <c r="B8345" s="3" t="str">
        <f>"00665495"</f>
        <v>00665495</v>
      </c>
    </row>
    <row r="8346" spans="1:2" x14ac:dyDescent="0.25">
      <c r="A8346" s="4">
        <v>8341</v>
      </c>
      <c r="B8346" s="3" t="str">
        <f>"00665516"</f>
        <v>00665516</v>
      </c>
    </row>
    <row r="8347" spans="1:2" x14ac:dyDescent="0.25">
      <c r="A8347" s="4">
        <v>8342</v>
      </c>
      <c r="B8347" s="3" t="str">
        <f>"00665531"</f>
        <v>00665531</v>
      </c>
    </row>
    <row r="8348" spans="1:2" x14ac:dyDescent="0.25">
      <c r="A8348" s="4">
        <v>8343</v>
      </c>
      <c r="B8348" s="3" t="str">
        <f>"00665534"</f>
        <v>00665534</v>
      </c>
    </row>
    <row r="8349" spans="1:2" x14ac:dyDescent="0.25">
      <c r="A8349" s="4">
        <v>8344</v>
      </c>
      <c r="B8349" s="3" t="str">
        <f>"00665556"</f>
        <v>00665556</v>
      </c>
    </row>
    <row r="8350" spans="1:2" x14ac:dyDescent="0.25">
      <c r="A8350" s="4">
        <v>8345</v>
      </c>
      <c r="B8350" s="3" t="str">
        <f>"00665558"</f>
        <v>00665558</v>
      </c>
    </row>
    <row r="8351" spans="1:2" x14ac:dyDescent="0.25">
      <c r="A8351" s="4">
        <v>8346</v>
      </c>
      <c r="B8351" s="3" t="str">
        <f>"00665566"</f>
        <v>00665566</v>
      </c>
    </row>
    <row r="8352" spans="1:2" x14ac:dyDescent="0.25">
      <c r="A8352" s="4">
        <v>8347</v>
      </c>
      <c r="B8352" s="3" t="str">
        <f>"00665573"</f>
        <v>00665573</v>
      </c>
    </row>
    <row r="8353" spans="1:2" x14ac:dyDescent="0.25">
      <c r="A8353" s="4">
        <v>8348</v>
      </c>
      <c r="B8353" s="3" t="str">
        <f>"00665574"</f>
        <v>00665574</v>
      </c>
    </row>
    <row r="8354" spans="1:2" x14ac:dyDescent="0.25">
      <c r="A8354" s="4">
        <v>8349</v>
      </c>
      <c r="B8354" s="3" t="str">
        <f>"00665588"</f>
        <v>00665588</v>
      </c>
    </row>
    <row r="8355" spans="1:2" x14ac:dyDescent="0.25">
      <c r="A8355" s="4">
        <v>8350</v>
      </c>
      <c r="B8355" s="3" t="str">
        <f>"00665602"</f>
        <v>00665602</v>
      </c>
    </row>
    <row r="8356" spans="1:2" x14ac:dyDescent="0.25">
      <c r="A8356" s="4">
        <v>8351</v>
      </c>
      <c r="B8356" s="3" t="str">
        <f>"00665610"</f>
        <v>00665610</v>
      </c>
    </row>
    <row r="8357" spans="1:2" x14ac:dyDescent="0.25">
      <c r="A8357" s="4">
        <v>8352</v>
      </c>
      <c r="B8357" s="3" t="str">
        <f>"00665619"</f>
        <v>00665619</v>
      </c>
    </row>
    <row r="8358" spans="1:2" x14ac:dyDescent="0.25">
      <c r="A8358" s="4">
        <v>8353</v>
      </c>
      <c r="B8358" s="3" t="str">
        <f>"00665637"</f>
        <v>00665637</v>
      </c>
    </row>
    <row r="8359" spans="1:2" x14ac:dyDescent="0.25">
      <c r="A8359" s="4">
        <v>8354</v>
      </c>
      <c r="B8359" s="3" t="str">
        <f>"00665646"</f>
        <v>00665646</v>
      </c>
    </row>
    <row r="8360" spans="1:2" x14ac:dyDescent="0.25">
      <c r="A8360" s="4">
        <v>8355</v>
      </c>
      <c r="B8360" s="3" t="str">
        <f>"00665682"</f>
        <v>00665682</v>
      </c>
    </row>
    <row r="8361" spans="1:2" x14ac:dyDescent="0.25">
      <c r="A8361" s="4">
        <v>8356</v>
      </c>
      <c r="B8361" s="3" t="str">
        <f>"00665715"</f>
        <v>00665715</v>
      </c>
    </row>
    <row r="8362" spans="1:2" x14ac:dyDescent="0.25">
      <c r="A8362" s="4">
        <v>8357</v>
      </c>
      <c r="B8362" s="3" t="str">
        <f>"00665721"</f>
        <v>00665721</v>
      </c>
    </row>
    <row r="8363" spans="1:2" x14ac:dyDescent="0.25">
      <c r="A8363" s="4">
        <v>8358</v>
      </c>
      <c r="B8363" s="3" t="str">
        <f>"00665726"</f>
        <v>00665726</v>
      </c>
    </row>
    <row r="8364" spans="1:2" x14ac:dyDescent="0.25">
      <c r="A8364" s="4">
        <v>8359</v>
      </c>
      <c r="B8364" s="3" t="str">
        <f>"00665727"</f>
        <v>00665727</v>
      </c>
    </row>
    <row r="8365" spans="1:2" x14ac:dyDescent="0.25">
      <c r="A8365" s="4">
        <v>8360</v>
      </c>
      <c r="B8365" s="3" t="str">
        <f>"00665743"</f>
        <v>00665743</v>
      </c>
    </row>
    <row r="8366" spans="1:2" x14ac:dyDescent="0.25">
      <c r="A8366" s="4">
        <v>8361</v>
      </c>
      <c r="B8366" s="3" t="str">
        <f>"00665749"</f>
        <v>00665749</v>
      </c>
    </row>
    <row r="8367" spans="1:2" x14ac:dyDescent="0.25">
      <c r="A8367" s="4">
        <v>8362</v>
      </c>
      <c r="B8367" s="3" t="str">
        <f>"00665758"</f>
        <v>00665758</v>
      </c>
    </row>
    <row r="8368" spans="1:2" x14ac:dyDescent="0.25">
      <c r="A8368" s="4">
        <v>8363</v>
      </c>
      <c r="B8368" s="3" t="str">
        <f>"00665763"</f>
        <v>00665763</v>
      </c>
    </row>
    <row r="8369" spans="1:2" x14ac:dyDescent="0.25">
      <c r="A8369" s="4">
        <v>8364</v>
      </c>
      <c r="B8369" s="3" t="str">
        <f>"00665773"</f>
        <v>00665773</v>
      </c>
    </row>
    <row r="8370" spans="1:2" x14ac:dyDescent="0.25">
      <c r="A8370" s="4">
        <v>8365</v>
      </c>
      <c r="B8370" s="3" t="str">
        <f>"00665775"</f>
        <v>00665775</v>
      </c>
    </row>
    <row r="8371" spans="1:2" x14ac:dyDescent="0.25">
      <c r="A8371" s="4">
        <v>8366</v>
      </c>
      <c r="B8371" s="3" t="str">
        <f>"00665777"</f>
        <v>00665777</v>
      </c>
    </row>
    <row r="8372" spans="1:2" x14ac:dyDescent="0.25">
      <c r="A8372" s="4">
        <v>8367</v>
      </c>
      <c r="B8372" s="3" t="str">
        <f>"00665779"</f>
        <v>00665779</v>
      </c>
    </row>
    <row r="8373" spans="1:2" x14ac:dyDescent="0.25">
      <c r="A8373" s="4">
        <v>8368</v>
      </c>
      <c r="B8373" s="3" t="str">
        <f>"00665782"</f>
        <v>00665782</v>
      </c>
    </row>
    <row r="8374" spans="1:2" x14ac:dyDescent="0.25">
      <c r="A8374" s="4">
        <v>8369</v>
      </c>
      <c r="B8374" s="3" t="str">
        <f>"00665784"</f>
        <v>00665784</v>
      </c>
    </row>
    <row r="8375" spans="1:2" x14ac:dyDescent="0.25">
      <c r="A8375" s="4">
        <v>8370</v>
      </c>
      <c r="B8375" s="3" t="str">
        <f>"00665791"</f>
        <v>00665791</v>
      </c>
    </row>
    <row r="8376" spans="1:2" x14ac:dyDescent="0.25">
      <c r="A8376" s="4">
        <v>8371</v>
      </c>
      <c r="B8376" s="3" t="str">
        <f>"00665805"</f>
        <v>00665805</v>
      </c>
    </row>
    <row r="8377" spans="1:2" x14ac:dyDescent="0.25">
      <c r="A8377" s="4">
        <v>8372</v>
      </c>
      <c r="B8377" s="3" t="str">
        <f>"00665810"</f>
        <v>00665810</v>
      </c>
    </row>
    <row r="8378" spans="1:2" x14ac:dyDescent="0.25">
      <c r="A8378" s="4">
        <v>8373</v>
      </c>
      <c r="B8378" s="3" t="str">
        <f>"00665813"</f>
        <v>00665813</v>
      </c>
    </row>
    <row r="8379" spans="1:2" x14ac:dyDescent="0.25">
      <c r="A8379" s="4">
        <v>8374</v>
      </c>
      <c r="B8379" s="3" t="str">
        <f>"00665816"</f>
        <v>00665816</v>
      </c>
    </row>
    <row r="8380" spans="1:2" x14ac:dyDescent="0.25">
      <c r="A8380" s="4">
        <v>8375</v>
      </c>
      <c r="B8380" s="3" t="str">
        <f>"00665822"</f>
        <v>00665822</v>
      </c>
    </row>
    <row r="8381" spans="1:2" x14ac:dyDescent="0.25">
      <c r="A8381" s="4">
        <v>8376</v>
      </c>
      <c r="B8381" s="3" t="str">
        <f>"00665828"</f>
        <v>00665828</v>
      </c>
    </row>
    <row r="8382" spans="1:2" x14ac:dyDescent="0.25">
      <c r="A8382" s="4">
        <v>8377</v>
      </c>
      <c r="B8382" s="3" t="str">
        <f>"00665881"</f>
        <v>00665881</v>
      </c>
    </row>
    <row r="8383" spans="1:2" x14ac:dyDescent="0.25">
      <c r="A8383" s="4">
        <v>8378</v>
      </c>
      <c r="B8383" s="3" t="str">
        <f>"00665882"</f>
        <v>00665882</v>
      </c>
    </row>
    <row r="8384" spans="1:2" x14ac:dyDescent="0.25">
      <c r="A8384" s="4">
        <v>8379</v>
      </c>
      <c r="B8384" s="3" t="str">
        <f>"00665884"</f>
        <v>00665884</v>
      </c>
    </row>
    <row r="8385" spans="1:2" x14ac:dyDescent="0.25">
      <c r="A8385" s="4">
        <v>8380</v>
      </c>
      <c r="B8385" s="3" t="str">
        <f>"00665887"</f>
        <v>00665887</v>
      </c>
    </row>
    <row r="8386" spans="1:2" x14ac:dyDescent="0.25">
      <c r="A8386" s="4">
        <v>8381</v>
      </c>
      <c r="B8386" s="3" t="str">
        <f>"00665902"</f>
        <v>00665902</v>
      </c>
    </row>
    <row r="8387" spans="1:2" x14ac:dyDescent="0.25">
      <c r="A8387" s="4">
        <v>8382</v>
      </c>
      <c r="B8387" s="3" t="str">
        <f>"00665911"</f>
        <v>00665911</v>
      </c>
    </row>
    <row r="8388" spans="1:2" x14ac:dyDescent="0.25">
      <c r="A8388" s="4">
        <v>8383</v>
      </c>
      <c r="B8388" s="3" t="str">
        <f>"00665912"</f>
        <v>00665912</v>
      </c>
    </row>
    <row r="8389" spans="1:2" x14ac:dyDescent="0.25">
      <c r="A8389" s="4">
        <v>8384</v>
      </c>
      <c r="B8389" s="3" t="str">
        <f>"00665926"</f>
        <v>00665926</v>
      </c>
    </row>
    <row r="8390" spans="1:2" x14ac:dyDescent="0.25">
      <c r="A8390" s="4">
        <v>8385</v>
      </c>
      <c r="B8390" s="3" t="str">
        <f>"00665937"</f>
        <v>00665937</v>
      </c>
    </row>
    <row r="8391" spans="1:2" x14ac:dyDescent="0.25">
      <c r="A8391" s="4">
        <v>8386</v>
      </c>
      <c r="B8391" s="3" t="str">
        <f>"00665941"</f>
        <v>00665941</v>
      </c>
    </row>
    <row r="8392" spans="1:2" x14ac:dyDescent="0.25">
      <c r="A8392" s="4">
        <v>8387</v>
      </c>
      <c r="B8392" s="3" t="str">
        <f>"00665945"</f>
        <v>00665945</v>
      </c>
    </row>
    <row r="8393" spans="1:2" x14ac:dyDescent="0.25">
      <c r="A8393" s="4">
        <v>8388</v>
      </c>
      <c r="B8393" s="3" t="str">
        <f>"00665950"</f>
        <v>00665950</v>
      </c>
    </row>
    <row r="8394" spans="1:2" x14ac:dyDescent="0.25">
      <c r="A8394" s="4">
        <v>8389</v>
      </c>
      <c r="B8394" s="3" t="str">
        <f>"00665957"</f>
        <v>00665957</v>
      </c>
    </row>
    <row r="8395" spans="1:2" x14ac:dyDescent="0.25">
      <c r="A8395" s="4">
        <v>8390</v>
      </c>
      <c r="B8395" s="3" t="str">
        <f>"00665974"</f>
        <v>00665974</v>
      </c>
    </row>
    <row r="8396" spans="1:2" x14ac:dyDescent="0.25">
      <c r="A8396" s="4">
        <v>8391</v>
      </c>
      <c r="B8396" s="3" t="str">
        <f>"00665995"</f>
        <v>00665995</v>
      </c>
    </row>
    <row r="8397" spans="1:2" x14ac:dyDescent="0.25">
      <c r="A8397" s="4">
        <v>8392</v>
      </c>
      <c r="B8397" s="3" t="str">
        <f>"00665998"</f>
        <v>00665998</v>
      </c>
    </row>
    <row r="8398" spans="1:2" x14ac:dyDescent="0.25">
      <c r="A8398" s="4">
        <v>8393</v>
      </c>
      <c r="B8398" s="3" t="str">
        <f>"00666013"</f>
        <v>00666013</v>
      </c>
    </row>
    <row r="8399" spans="1:2" x14ac:dyDescent="0.25">
      <c r="A8399" s="4">
        <v>8394</v>
      </c>
      <c r="B8399" s="3" t="str">
        <f>"00666040"</f>
        <v>00666040</v>
      </c>
    </row>
    <row r="8400" spans="1:2" x14ac:dyDescent="0.25">
      <c r="A8400" s="4">
        <v>8395</v>
      </c>
      <c r="B8400" s="3" t="str">
        <f>"00666065"</f>
        <v>00666065</v>
      </c>
    </row>
    <row r="8401" spans="1:2" x14ac:dyDescent="0.25">
      <c r="A8401" s="4">
        <v>8396</v>
      </c>
      <c r="B8401" s="3" t="str">
        <f>"00666066"</f>
        <v>00666066</v>
      </c>
    </row>
    <row r="8402" spans="1:2" x14ac:dyDescent="0.25">
      <c r="A8402" s="4">
        <v>8397</v>
      </c>
      <c r="B8402" s="3" t="str">
        <f>"00666070"</f>
        <v>00666070</v>
      </c>
    </row>
    <row r="8403" spans="1:2" x14ac:dyDescent="0.25">
      <c r="A8403" s="4">
        <v>8398</v>
      </c>
      <c r="B8403" s="3" t="str">
        <f>"00666072"</f>
        <v>00666072</v>
      </c>
    </row>
    <row r="8404" spans="1:2" x14ac:dyDescent="0.25">
      <c r="A8404" s="4">
        <v>8399</v>
      </c>
      <c r="B8404" s="3" t="str">
        <f>"00666080"</f>
        <v>00666080</v>
      </c>
    </row>
    <row r="8405" spans="1:2" x14ac:dyDescent="0.25">
      <c r="A8405" s="4">
        <v>8400</v>
      </c>
      <c r="B8405" s="3" t="str">
        <f>"00666082"</f>
        <v>00666082</v>
      </c>
    </row>
    <row r="8406" spans="1:2" x14ac:dyDescent="0.25">
      <c r="A8406" s="4">
        <v>8401</v>
      </c>
      <c r="B8406" s="3" t="str">
        <f>"00666086"</f>
        <v>00666086</v>
      </c>
    </row>
    <row r="8407" spans="1:2" x14ac:dyDescent="0.25">
      <c r="A8407" s="4">
        <v>8402</v>
      </c>
      <c r="B8407" s="3" t="str">
        <f>"00666091"</f>
        <v>00666091</v>
      </c>
    </row>
    <row r="8408" spans="1:2" x14ac:dyDescent="0.25">
      <c r="A8408" s="4">
        <v>8403</v>
      </c>
      <c r="B8408" s="3" t="str">
        <f>"00666100"</f>
        <v>00666100</v>
      </c>
    </row>
    <row r="8409" spans="1:2" x14ac:dyDescent="0.25">
      <c r="A8409" s="4">
        <v>8404</v>
      </c>
      <c r="B8409" s="3" t="str">
        <f>"00666110"</f>
        <v>00666110</v>
      </c>
    </row>
    <row r="8410" spans="1:2" x14ac:dyDescent="0.25">
      <c r="A8410" s="4">
        <v>8405</v>
      </c>
      <c r="B8410" s="3" t="str">
        <f>"00666127"</f>
        <v>00666127</v>
      </c>
    </row>
    <row r="8411" spans="1:2" x14ac:dyDescent="0.25">
      <c r="A8411" s="4">
        <v>8406</v>
      </c>
      <c r="B8411" s="3" t="str">
        <f>"00666131"</f>
        <v>00666131</v>
      </c>
    </row>
    <row r="8412" spans="1:2" x14ac:dyDescent="0.25">
      <c r="A8412" s="4">
        <v>8407</v>
      </c>
      <c r="B8412" s="3" t="str">
        <f>"00666165"</f>
        <v>00666165</v>
      </c>
    </row>
    <row r="8413" spans="1:2" x14ac:dyDescent="0.25">
      <c r="A8413" s="4">
        <v>8408</v>
      </c>
      <c r="B8413" s="3" t="str">
        <f>"00666167"</f>
        <v>00666167</v>
      </c>
    </row>
    <row r="8414" spans="1:2" x14ac:dyDescent="0.25">
      <c r="A8414" s="4">
        <v>8409</v>
      </c>
      <c r="B8414" s="3" t="str">
        <f>"00666172"</f>
        <v>00666172</v>
      </c>
    </row>
    <row r="8415" spans="1:2" x14ac:dyDescent="0.25">
      <c r="A8415" s="4">
        <v>8410</v>
      </c>
      <c r="B8415" s="3" t="str">
        <f>"00666173"</f>
        <v>00666173</v>
      </c>
    </row>
    <row r="8416" spans="1:2" x14ac:dyDescent="0.25">
      <c r="A8416" s="4">
        <v>8411</v>
      </c>
      <c r="B8416" s="3" t="str">
        <f>"00666180"</f>
        <v>00666180</v>
      </c>
    </row>
    <row r="8417" spans="1:2" x14ac:dyDescent="0.25">
      <c r="A8417" s="4">
        <v>8412</v>
      </c>
      <c r="B8417" s="3" t="str">
        <f>"00666188"</f>
        <v>00666188</v>
      </c>
    </row>
    <row r="8418" spans="1:2" x14ac:dyDescent="0.25">
      <c r="A8418" s="4">
        <v>8413</v>
      </c>
      <c r="B8418" s="3" t="str">
        <f>"00666201"</f>
        <v>00666201</v>
      </c>
    </row>
    <row r="8419" spans="1:2" x14ac:dyDescent="0.25">
      <c r="A8419" s="4">
        <v>8414</v>
      </c>
      <c r="B8419" s="3" t="str">
        <f>"00666218"</f>
        <v>00666218</v>
      </c>
    </row>
    <row r="8420" spans="1:2" x14ac:dyDescent="0.25">
      <c r="A8420" s="4">
        <v>8415</v>
      </c>
      <c r="B8420" s="3" t="str">
        <f>"00666220"</f>
        <v>00666220</v>
      </c>
    </row>
    <row r="8421" spans="1:2" x14ac:dyDescent="0.25">
      <c r="A8421" s="4">
        <v>8416</v>
      </c>
      <c r="B8421" s="3" t="str">
        <f>"00666230"</f>
        <v>00666230</v>
      </c>
    </row>
    <row r="8422" spans="1:2" x14ac:dyDescent="0.25">
      <c r="A8422" s="4">
        <v>8417</v>
      </c>
      <c r="B8422" s="3" t="str">
        <f>"00666233"</f>
        <v>00666233</v>
      </c>
    </row>
    <row r="8423" spans="1:2" x14ac:dyDescent="0.25">
      <c r="A8423" s="4">
        <v>8418</v>
      </c>
      <c r="B8423" s="3" t="str">
        <f>"00666248"</f>
        <v>00666248</v>
      </c>
    </row>
    <row r="8424" spans="1:2" x14ac:dyDescent="0.25">
      <c r="A8424" s="4">
        <v>8419</v>
      </c>
      <c r="B8424" s="3" t="str">
        <f>"00666259"</f>
        <v>00666259</v>
      </c>
    </row>
    <row r="8425" spans="1:2" x14ac:dyDescent="0.25">
      <c r="A8425" s="4">
        <v>8420</v>
      </c>
      <c r="B8425" s="3" t="str">
        <f>"00666267"</f>
        <v>00666267</v>
      </c>
    </row>
    <row r="8426" spans="1:2" x14ac:dyDescent="0.25">
      <c r="A8426" s="4">
        <v>8421</v>
      </c>
      <c r="B8426" s="3" t="str">
        <f>"00666271"</f>
        <v>00666271</v>
      </c>
    </row>
    <row r="8427" spans="1:2" x14ac:dyDescent="0.25">
      <c r="A8427" s="4">
        <v>8422</v>
      </c>
      <c r="B8427" s="3" t="str">
        <f>"00666288"</f>
        <v>00666288</v>
      </c>
    </row>
    <row r="8428" spans="1:2" x14ac:dyDescent="0.25">
      <c r="A8428" s="4">
        <v>8423</v>
      </c>
      <c r="B8428" s="3" t="str">
        <f>"00666320"</f>
        <v>00666320</v>
      </c>
    </row>
    <row r="8429" spans="1:2" x14ac:dyDescent="0.25">
      <c r="A8429" s="4">
        <v>8424</v>
      </c>
      <c r="B8429" s="3" t="str">
        <f>"00666324"</f>
        <v>00666324</v>
      </c>
    </row>
    <row r="8430" spans="1:2" x14ac:dyDescent="0.25">
      <c r="A8430" s="4">
        <v>8425</v>
      </c>
      <c r="B8430" s="3" t="str">
        <f>"00666330"</f>
        <v>00666330</v>
      </c>
    </row>
    <row r="8431" spans="1:2" x14ac:dyDescent="0.25">
      <c r="A8431" s="4">
        <v>8426</v>
      </c>
      <c r="B8431" s="3" t="str">
        <f>"00666331"</f>
        <v>00666331</v>
      </c>
    </row>
    <row r="8432" spans="1:2" x14ac:dyDescent="0.25">
      <c r="A8432" s="4">
        <v>8427</v>
      </c>
      <c r="B8432" s="3" t="str">
        <f>"00666344"</f>
        <v>00666344</v>
      </c>
    </row>
    <row r="8433" spans="1:2" x14ac:dyDescent="0.25">
      <c r="A8433" s="4">
        <v>8428</v>
      </c>
      <c r="B8433" s="3" t="str">
        <f>"00666352"</f>
        <v>00666352</v>
      </c>
    </row>
    <row r="8434" spans="1:2" x14ac:dyDescent="0.25">
      <c r="A8434" s="4">
        <v>8429</v>
      </c>
      <c r="B8434" s="3" t="str">
        <f>"00666353"</f>
        <v>00666353</v>
      </c>
    </row>
    <row r="8435" spans="1:2" x14ac:dyDescent="0.25">
      <c r="A8435" s="4">
        <v>8430</v>
      </c>
      <c r="B8435" s="3" t="str">
        <f>"00666359"</f>
        <v>00666359</v>
      </c>
    </row>
    <row r="8436" spans="1:2" x14ac:dyDescent="0.25">
      <c r="A8436" s="4">
        <v>8431</v>
      </c>
      <c r="B8436" s="3" t="str">
        <f>"00666361"</f>
        <v>00666361</v>
      </c>
    </row>
    <row r="8437" spans="1:2" x14ac:dyDescent="0.25">
      <c r="A8437" s="4">
        <v>8432</v>
      </c>
      <c r="B8437" s="3" t="str">
        <f>"00666373"</f>
        <v>00666373</v>
      </c>
    </row>
    <row r="8438" spans="1:2" x14ac:dyDescent="0.25">
      <c r="A8438" s="4">
        <v>8433</v>
      </c>
      <c r="B8438" s="3" t="str">
        <f>"00666389"</f>
        <v>00666389</v>
      </c>
    </row>
    <row r="8439" spans="1:2" x14ac:dyDescent="0.25">
      <c r="A8439" s="4">
        <v>8434</v>
      </c>
      <c r="B8439" s="3" t="str">
        <f>"00666395"</f>
        <v>00666395</v>
      </c>
    </row>
    <row r="8440" spans="1:2" x14ac:dyDescent="0.25">
      <c r="A8440" s="4">
        <v>8435</v>
      </c>
      <c r="B8440" s="3" t="str">
        <f>"00666410"</f>
        <v>00666410</v>
      </c>
    </row>
    <row r="8441" spans="1:2" x14ac:dyDescent="0.25">
      <c r="A8441" s="4">
        <v>8436</v>
      </c>
      <c r="B8441" s="3" t="str">
        <f>"00666430"</f>
        <v>00666430</v>
      </c>
    </row>
    <row r="8442" spans="1:2" x14ac:dyDescent="0.25">
      <c r="A8442" s="4">
        <v>8437</v>
      </c>
      <c r="B8442" s="3" t="str">
        <f>"00666431"</f>
        <v>00666431</v>
      </c>
    </row>
    <row r="8443" spans="1:2" x14ac:dyDescent="0.25">
      <c r="A8443" s="4">
        <v>8438</v>
      </c>
      <c r="B8443" s="3" t="str">
        <f>"00666437"</f>
        <v>00666437</v>
      </c>
    </row>
    <row r="8444" spans="1:2" x14ac:dyDescent="0.25">
      <c r="A8444" s="4">
        <v>8439</v>
      </c>
      <c r="B8444" s="3" t="str">
        <f>"00666444"</f>
        <v>00666444</v>
      </c>
    </row>
    <row r="8445" spans="1:2" x14ac:dyDescent="0.25">
      <c r="A8445" s="4">
        <v>8440</v>
      </c>
      <c r="B8445" s="3" t="str">
        <f>"00666445"</f>
        <v>00666445</v>
      </c>
    </row>
    <row r="8446" spans="1:2" x14ac:dyDescent="0.25">
      <c r="A8446" s="4">
        <v>8441</v>
      </c>
      <c r="B8446" s="3" t="str">
        <f>"00666452"</f>
        <v>00666452</v>
      </c>
    </row>
    <row r="8447" spans="1:2" x14ac:dyDescent="0.25">
      <c r="A8447" s="4">
        <v>8442</v>
      </c>
      <c r="B8447" s="3" t="str">
        <f>"00666466"</f>
        <v>00666466</v>
      </c>
    </row>
    <row r="8448" spans="1:2" x14ac:dyDescent="0.25">
      <c r="A8448" s="4">
        <v>8443</v>
      </c>
      <c r="B8448" s="3" t="str">
        <f>"00666471"</f>
        <v>00666471</v>
      </c>
    </row>
    <row r="8449" spans="1:2" x14ac:dyDescent="0.25">
      <c r="A8449" s="4">
        <v>8444</v>
      </c>
      <c r="B8449" s="3" t="str">
        <f>"00666496"</f>
        <v>00666496</v>
      </c>
    </row>
    <row r="8450" spans="1:2" x14ac:dyDescent="0.25">
      <c r="A8450" s="4">
        <v>8445</v>
      </c>
      <c r="B8450" s="3" t="str">
        <f>"00666513"</f>
        <v>00666513</v>
      </c>
    </row>
    <row r="8451" spans="1:2" x14ac:dyDescent="0.25">
      <c r="A8451" s="4">
        <v>8446</v>
      </c>
      <c r="B8451" s="3" t="str">
        <f>"00666521"</f>
        <v>00666521</v>
      </c>
    </row>
    <row r="8452" spans="1:2" x14ac:dyDescent="0.25">
      <c r="A8452" s="4">
        <v>8447</v>
      </c>
      <c r="B8452" s="3" t="str">
        <f>"00666529"</f>
        <v>00666529</v>
      </c>
    </row>
    <row r="8453" spans="1:2" x14ac:dyDescent="0.25">
      <c r="A8453" s="4">
        <v>8448</v>
      </c>
      <c r="B8453" s="3" t="str">
        <f>"00666546"</f>
        <v>00666546</v>
      </c>
    </row>
    <row r="8454" spans="1:2" x14ac:dyDescent="0.25">
      <c r="A8454" s="4">
        <v>8449</v>
      </c>
      <c r="B8454" s="3" t="str">
        <f>"00666549"</f>
        <v>00666549</v>
      </c>
    </row>
    <row r="8455" spans="1:2" x14ac:dyDescent="0.25">
      <c r="A8455" s="4">
        <v>8450</v>
      </c>
      <c r="B8455" s="3" t="str">
        <f>"00666594"</f>
        <v>00666594</v>
      </c>
    </row>
    <row r="8456" spans="1:2" x14ac:dyDescent="0.25">
      <c r="A8456" s="4">
        <v>8451</v>
      </c>
      <c r="B8456" s="3" t="str">
        <f>"00666601"</f>
        <v>00666601</v>
      </c>
    </row>
    <row r="8457" spans="1:2" x14ac:dyDescent="0.25">
      <c r="A8457" s="4">
        <v>8452</v>
      </c>
      <c r="B8457" s="3" t="str">
        <f>"00666604"</f>
        <v>00666604</v>
      </c>
    </row>
    <row r="8458" spans="1:2" x14ac:dyDescent="0.25">
      <c r="A8458" s="4">
        <v>8453</v>
      </c>
      <c r="B8458" s="3" t="str">
        <f>"00666623"</f>
        <v>00666623</v>
      </c>
    </row>
    <row r="8459" spans="1:2" x14ac:dyDescent="0.25">
      <c r="A8459" s="4">
        <v>8454</v>
      </c>
      <c r="B8459" s="3" t="str">
        <f>"00666631"</f>
        <v>00666631</v>
      </c>
    </row>
    <row r="8460" spans="1:2" x14ac:dyDescent="0.25">
      <c r="A8460" s="4">
        <v>8455</v>
      </c>
      <c r="B8460" s="3" t="str">
        <f>"00666636"</f>
        <v>00666636</v>
      </c>
    </row>
    <row r="8461" spans="1:2" x14ac:dyDescent="0.25">
      <c r="A8461" s="4">
        <v>8456</v>
      </c>
      <c r="B8461" s="3" t="str">
        <f>"00666648"</f>
        <v>00666648</v>
      </c>
    </row>
    <row r="8462" spans="1:2" x14ac:dyDescent="0.25">
      <c r="A8462" s="4">
        <v>8457</v>
      </c>
      <c r="B8462" s="3" t="str">
        <f>"00666661"</f>
        <v>00666661</v>
      </c>
    </row>
    <row r="8463" spans="1:2" x14ac:dyDescent="0.25">
      <c r="A8463" s="4">
        <v>8458</v>
      </c>
      <c r="B8463" s="3" t="str">
        <f>"00666681"</f>
        <v>00666681</v>
      </c>
    </row>
    <row r="8464" spans="1:2" x14ac:dyDescent="0.25">
      <c r="A8464" s="4">
        <v>8459</v>
      </c>
      <c r="B8464" s="3" t="str">
        <f>"00666712"</f>
        <v>00666712</v>
      </c>
    </row>
    <row r="8465" spans="1:2" x14ac:dyDescent="0.25">
      <c r="A8465" s="4">
        <v>8460</v>
      </c>
      <c r="B8465" s="3" t="str">
        <f>"00666736"</f>
        <v>00666736</v>
      </c>
    </row>
    <row r="8466" spans="1:2" x14ac:dyDescent="0.25">
      <c r="A8466" s="4">
        <v>8461</v>
      </c>
      <c r="B8466" s="3" t="str">
        <f>"00666755"</f>
        <v>00666755</v>
      </c>
    </row>
    <row r="8467" spans="1:2" x14ac:dyDescent="0.25">
      <c r="A8467" s="4">
        <v>8462</v>
      </c>
      <c r="B8467" s="3" t="str">
        <f>"00666787"</f>
        <v>00666787</v>
      </c>
    </row>
    <row r="8468" spans="1:2" x14ac:dyDescent="0.25">
      <c r="A8468" s="4">
        <v>8463</v>
      </c>
      <c r="B8468" s="3" t="str">
        <f>"00666797"</f>
        <v>00666797</v>
      </c>
    </row>
    <row r="8469" spans="1:2" x14ac:dyDescent="0.25">
      <c r="A8469" s="4">
        <v>8464</v>
      </c>
      <c r="B8469" s="3" t="str">
        <f>"00666803"</f>
        <v>00666803</v>
      </c>
    </row>
    <row r="8470" spans="1:2" x14ac:dyDescent="0.25">
      <c r="A8470" s="4">
        <v>8465</v>
      </c>
      <c r="B8470" s="3" t="str">
        <f>"00666811"</f>
        <v>00666811</v>
      </c>
    </row>
    <row r="8471" spans="1:2" x14ac:dyDescent="0.25">
      <c r="A8471" s="4">
        <v>8466</v>
      </c>
      <c r="B8471" s="3" t="str">
        <f>"00666816"</f>
        <v>00666816</v>
      </c>
    </row>
    <row r="8472" spans="1:2" x14ac:dyDescent="0.25">
      <c r="A8472" s="4">
        <v>8467</v>
      </c>
      <c r="B8472" s="3" t="str">
        <f>"00666858"</f>
        <v>00666858</v>
      </c>
    </row>
    <row r="8473" spans="1:2" x14ac:dyDescent="0.25">
      <c r="A8473" s="4">
        <v>8468</v>
      </c>
      <c r="B8473" s="3" t="str">
        <f>"00666862"</f>
        <v>00666862</v>
      </c>
    </row>
    <row r="8474" spans="1:2" x14ac:dyDescent="0.25">
      <c r="A8474" s="4">
        <v>8469</v>
      </c>
      <c r="B8474" s="3" t="str">
        <f>"00666870"</f>
        <v>00666870</v>
      </c>
    </row>
    <row r="8475" spans="1:2" x14ac:dyDescent="0.25">
      <c r="A8475" s="4">
        <v>8470</v>
      </c>
      <c r="B8475" s="3" t="str">
        <f>"00666882"</f>
        <v>00666882</v>
      </c>
    </row>
    <row r="8476" spans="1:2" x14ac:dyDescent="0.25">
      <c r="A8476" s="4">
        <v>8471</v>
      </c>
      <c r="B8476" s="3" t="str">
        <f>"00666892"</f>
        <v>00666892</v>
      </c>
    </row>
    <row r="8477" spans="1:2" x14ac:dyDescent="0.25">
      <c r="A8477" s="4">
        <v>8472</v>
      </c>
      <c r="B8477" s="3" t="str">
        <f>"00666906"</f>
        <v>00666906</v>
      </c>
    </row>
    <row r="8478" spans="1:2" x14ac:dyDescent="0.25">
      <c r="A8478" s="4">
        <v>8473</v>
      </c>
      <c r="B8478" s="3" t="str">
        <f>"00666908"</f>
        <v>00666908</v>
      </c>
    </row>
    <row r="8479" spans="1:2" x14ac:dyDescent="0.25">
      <c r="A8479" s="4">
        <v>8474</v>
      </c>
      <c r="B8479" s="3" t="str">
        <f>"00666955"</f>
        <v>00666955</v>
      </c>
    </row>
    <row r="8480" spans="1:2" x14ac:dyDescent="0.25">
      <c r="A8480" s="4">
        <v>8475</v>
      </c>
      <c r="B8480" s="3" t="str">
        <f>"00666968"</f>
        <v>00666968</v>
      </c>
    </row>
    <row r="8481" spans="1:2" x14ac:dyDescent="0.25">
      <c r="A8481" s="4">
        <v>8476</v>
      </c>
      <c r="B8481" s="3" t="str">
        <f>"00666970"</f>
        <v>00666970</v>
      </c>
    </row>
    <row r="8482" spans="1:2" x14ac:dyDescent="0.25">
      <c r="A8482" s="4">
        <v>8477</v>
      </c>
      <c r="B8482" s="3" t="str">
        <f>"00666971"</f>
        <v>00666971</v>
      </c>
    </row>
    <row r="8483" spans="1:2" x14ac:dyDescent="0.25">
      <c r="A8483" s="4">
        <v>8478</v>
      </c>
      <c r="B8483" s="3" t="str">
        <f>"00666976"</f>
        <v>00666976</v>
      </c>
    </row>
    <row r="8484" spans="1:2" x14ac:dyDescent="0.25">
      <c r="A8484" s="4">
        <v>8479</v>
      </c>
      <c r="B8484" s="3" t="str">
        <f>"00666980"</f>
        <v>00666980</v>
      </c>
    </row>
    <row r="8485" spans="1:2" x14ac:dyDescent="0.25">
      <c r="A8485" s="4">
        <v>8480</v>
      </c>
      <c r="B8485" s="19" t="s">
        <v>12</v>
      </c>
    </row>
    <row r="8486" spans="1:2" x14ac:dyDescent="0.25">
      <c r="A8486" s="4">
        <v>8481</v>
      </c>
      <c r="B8486" s="3" t="str">
        <f>"00666998"</f>
        <v>00666998</v>
      </c>
    </row>
    <row r="8487" spans="1:2" x14ac:dyDescent="0.25">
      <c r="A8487" s="4">
        <v>8482</v>
      </c>
      <c r="B8487" s="3" t="str">
        <f>"00667008"</f>
        <v>00667008</v>
      </c>
    </row>
    <row r="8488" spans="1:2" x14ac:dyDescent="0.25">
      <c r="A8488" s="4">
        <v>8483</v>
      </c>
      <c r="B8488" s="3" t="str">
        <f>"00667017"</f>
        <v>00667017</v>
      </c>
    </row>
    <row r="8489" spans="1:2" x14ac:dyDescent="0.25">
      <c r="A8489" s="4">
        <v>8484</v>
      </c>
      <c r="B8489" s="3" t="str">
        <f>"00667027"</f>
        <v>00667027</v>
      </c>
    </row>
    <row r="8490" spans="1:2" x14ac:dyDescent="0.25">
      <c r="A8490" s="4">
        <v>8485</v>
      </c>
      <c r="B8490" s="3" t="str">
        <f>"00667067"</f>
        <v>00667067</v>
      </c>
    </row>
    <row r="8491" spans="1:2" x14ac:dyDescent="0.25">
      <c r="A8491" s="4">
        <v>8486</v>
      </c>
      <c r="B8491" s="3" t="str">
        <f>"00667087"</f>
        <v>00667087</v>
      </c>
    </row>
    <row r="8492" spans="1:2" x14ac:dyDescent="0.25">
      <c r="A8492" s="4">
        <v>8487</v>
      </c>
      <c r="B8492" s="3" t="str">
        <f>"00667097"</f>
        <v>00667097</v>
      </c>
    </row>
    <row r="8493" spans="1:2" x14ac:dyDescent="0.25">
      <c r="A8493" s="4">
        <v>8488</v>
      </c>
      <c r="B8493" s="3" t="str">
        <f>"00667143"</f>
        <v>00667143</v>
      </c>
    </row>
    <row r="8494" spans="1:2" x14ac:dyDescent="0.25">
      <c r="A8494" s="4">
        <v>8489</v>
      </c>
      <c r="B8494" s="3" t="str">
        <f>"00667156"</f>
        <v>00667156</v>
      </c>
    </row>
    <row r="8495" spans="1:2" x14ac:dyDescent="0.25">
      <c r="A8495" s="4">
        <v>8490</v>
      </c>
      <c r="B8495" s="3" t="str">
        <f>"00667167"</f>
        <v>00667167</v>
      </c>
    </row>
    <row r="8496" spans="1:2" x14ac:dyDescent="0.25">
      <c r="A8496" s="4">
        <v>8491</v>
      </c>
      <c r="B8496" s="3" t="str">
        <f>"00667183"</f>
        <v>00667183</v>
      </c>
    </row>
    <row r="8497" spans="1:2" x14ac:dyDescent="0.25">
      <c r="A8497" s="4">
        <v>8492</v>
      </c>
      <c r="B8497" s="3" t="str">
        <f>"00667186"</f>
        <v>00667186</v>
      </c>
    </row>
    <row r="8498" spans="1:2" x14ac:dyDescent="0.25">
      <c r="A8498" s="4">
        <v>8493</v>
      </c>
      <c r="B8498" s="3" t="str">
        <f>"00667194"</f>
        <v>00667194</v>
      </c>
    </row>
    <row r="8499" spans="1:2" x14ac:dyDescent="0.25">
      <c r="A8499" s="4">
        <v>8494</v>
      </c>
      <c r="B8499" s="3" t="str">
        <f>"00667202"</f>
        <v>00667202</v>
      </c>
    </row>
    <row r="8500" spans="1:2" x14ac:dyDescent="0.25">
      <c r="A8500" s="4">
        <v>8495</v>
      </c>
      <c r="B8500" s="3" t="str">
        <f>"00667206"</f>
        <v>00667206</v>
      </c>
    </row>
    <row r="8501" spans="1:2" x14ac:dyDescent="0.25">
      <c r="A8501" s="4">
        <v>8496</v>
      </c>
      <c r="B8501" s="3" t="str">
        <f>"00667215"</f>
        <v>00667215</v>
      </c>
    </row>
    <row r="8502" spans="1:2" x14ac:dyDescent="0.25">
      <c r="A8502" s="4">
        <v>8497</v>
      </c>
      <c r="B8502" s="3" t="str">
        <f>"00667217"</f>
        <v>00667217</v>
      </c>
    </row>
    <row r="8503" spans="1:2" x14ac:dyDescent="0.25">
      <c r="A8503" s="4">
        <v>8498</v>
      </c>
      <c r="B8503" s="3" t="str">
        <f>"00667235"</f>
        <v>00667235</v>
      </c>
    </row>
    <row r="8504" spans="1:2" x14ac:dyDescent="0.25">
      <c r="A8504" s="4">
        <v>8499</v>
      </c>
      <c r="B8504" s="3" t="str">
        <f>"00667247"</f>
        <v>00667247</v>
      </c>
    </row>
    <row r="8505" spans="1:2" x14ac:dyDescent="0.25">
      <c r="A8505" s="4">
        <v>8500</v>
      </c>
      <c r="B8505" s="3" t="str">
        <f>"00667278"</f>
        <v>00667278</v>
      </c>
    </row>
    <row r="8506" spans="1:2" x14ac:dyDescent="0.25">
      <c r="A8506" s="4">
        <v>8501</v>
      </c>
      <c r="B8506" s="3" t="str">
        <f>"00667280"</f>
        <v>00667280</v>
      </c>
    </row>
    <row r="8507" spans="1:2" x14ac:dyDescent="0.25">
      <c r="A8507" s="4">
        <v>8502</v>
      </c>
      <c r="B8507" s="3" t="str">
        <f>"00667284"</f>
        <v>00667284</v>
      </c>
    </row>
    <row r="8508" spans="1:2" x14ac:dyDescent="0.25">
      <c r="A8508" s="4">
        <v>8503</v>
      </c>
      <c r="B8508" s="3" t="str">
        <f>"00667311"</f>
        <v>00667311</v>
      </c>
    </row>
    <row r="8509" spans="1:2" x14ac:dyDescent="0.25">
      <c r="A8509" s="4">
        <v>8504</v>
      </c>
      <c r="B8509" s="3" t="str">
        <f>"00667312"</f>
        <v>00667312</v>
      </c>
    </row>
    <row r="8510" spans="1:2" x14ac:dyDescent="0.25">
      <c r="A8510" s="4">
        <v>8505</v>
      </c>
      <c r="B8510" s="3" t="str">
        <f>"00667313"</f>
        <v>00667313</v>
      </c>
    </row>
    <row r="8511" spans="1:2" x14ac:dyDescent="0.25">
      <c r="A8511" s="4">
        <v>8506</v>
      </c>
      <c r="B8511" s="3" t="str">
        <f>"00667314"</f>
        <v>00667314</v>
      </c>
    </row>
    <row r="8512" spans="1:2" x14ac:dyDescent="0.25">
      <c r="A8512" s="4">
        <v>8507</v>
      </c>
      <c r="B8512" s="3" t="str">
        <f>"00667326"</f>
        <v>00667326</v>
      </c>
    </row>
    <row r="8513" spans="1:2" x14ac:dyDescent="0.25">
      <c r="A8513" s="4">
        <v>8508</v>
      </c>
      <c r="B8513" s="3" t="str">
        <f>"00667330"</f>
        <v>00667330</v>
      </c>
    </row>
    <row r="8514" spans="1:2" x14ac:dyDescent="0.25">
      <c r="A8514" s="4">
        <v>8509</v>
      </c>
      <c r="B8514" s="3" t="str">
        <f>"00667333"</f>
        <v>00667333</v>
      </c>
    </row>
    <row r="8515" spans="1:2" x14ac:dyDescent="0.25">
      <c r="A8515" s="4">
        <v>8510</v>
      </c>
      <c r="B8515" s="3" t="str">
        <f>"00667343"</f>
        <v>00667343</v>
      </c>
    </row>
    <row r="8516" spans="1:2" x14ac:dyDescent="0.25">
      <c r="A8516" s="4">
        <v>8511</v>
      </c>
      <c r="B8516" s="3" t="str">
        <f>"00667344"</f>
        <v>00667344</v>
      </c>
    </row>
    <row r="8517" spans="1:2" x14ac:dyDescent="0.25">
      <c r="A8517" s="4">
        <v>8512</v>
      </c>
      <c r="B8517" s="3" t="str">
        <f>"00667346"</f>
        <v>00667346</v>
      </c>
    </row>
    <row r="8518" spans="1:2" x14ac:dyDescent="0.25">
      <c r="A8518" s="4">
        <v>8513</v>
      </c>
      <c r="B8518" s="3" t="str">
        <f>"00667370"</f>
        <v>00667370</v>
      </c>
    </row>
    <row r="8519" spans="1:2" x14ac:dyDescent="0.25">
      <c r="A8519" s="4">
        <v>8514</v>
      </c>
      <c r="B8519" s="3" t="str">
        <f>"00667407"</f>
        <v>00667407</v>
      </c>
    </row>
    <row r="8520" spans="1:2" x14ac:dyDescent="0.25">
      <c r="A8520" s="4">
        <v>8515</v>
      </c>
      <c r="B8520" s="3" t="str">
        <f>"00667414"</f>
        <v>00667414</v>
      </c>
    </row>
    <row r="8521" spans="1:2" x14ac:dyDescent="0.25">
      <c r="A8521" s="4">
        <v>8516</v>
      </c>
      <c r="B8521" s="3" t="str">
        <f>"00667427"</f>
        <v>00667427</v>
      </c>
    </row>
    <row r="8522" spans="1:2" x14ac:dyDescent="0.25">
      <c r="A8522" s="4">
        <v>8517</v>
      </c>
      <c r="B8522" s="3" t="str">
        <f>"00667449"</f>
        <v>00667449</v>
      </c>
    </row>
    <row r="8523" spans="1:2" x14ac:dyDescent="0.25">
      <c r="A8523" s="4">
        <v>8518</v>
      </c>
      <c r="B8523" s="3" t="str">
        <f>"00667453"</f>
        <v>00667453</v>
      </c>
    </row>
    <row r="8524" spans="1:2" x14ac:dyDescent="0.25">
      <c r="A8524" s="4">
        <v>8519</v>
      </c>
      <c r="B8524" s="3" t="str">
        <f>"00667458"</f>
        <v>00667458</v>
      </c>
    </row>
    <row r="8525" spans="1:2" x14ac:dyDescent="0.25">
      <c r="A8525" s="4">
        <v>8520</v>
      </c>
      <c r="B8525" s="3" t="str">
        <f>"00667460"</f>
        <v>00667460</v>
      </c>
    </row>
    <row r="8526" spans="1:2" x14ac:dyDescent="0.25">
      <c r="A8526" s="4">
        <v>8521</v>
      </c>
      <c r="B8526" s="3" t="str">
        <f>"00667462"</f>
        <v>00667462</v>
      </c>
    </row>
    <row r="8527" spans="1:2" x14ac:dyDescent="0.25">
      <c r="A8527" s="4">
        <v>8522</v>
      </c>
      <c r="B8527" s="3" t="str">
        <f>"00667466"</f>
        <v>00667466</v>
      </c>
    </row>
    <row r="8528" spans="1:2" x14ac:dyDescent="0.25">
      <c r="A8528" s="4">
        <v>8523</v>
      </c>
      <c r="B8528" s="3" t="str">
        <f>"00667480"</f>
        <v>00667480</v>
      </c>
    </row>
    <row r="8529" spans="1:2" x14ac:dyDescent="0.25">
      <c r="A8529" s="4">
        <v>8524</v>
      </c>
      <c r="B8529" s="3" t="str">
        <f>"00667487"</f>
        <v>00667487</v>
      </c>
    </row>
    <row r="8530" spans="1:2" x14ac:dyDescent="0.25">
      <c r="A8530" s="4">
        <v>8525</v>
      </c>
      <c r="B8530" s="3" t="str">
        <f>"00667518"</f>
        <v>00667518</v>
      </c>
    </row>
    <row r="8531" spans="1:2" x14ac:dyDescent="0.25">
      <c r="A8531" s="4">
        <v>8526</v>
      </c>
      <c r="B8531" s="3" t="str">
        <f>"00667536"</f>
        <v>00667536</v>
      </c>
    </row>
    <row r="8532" spans="1:2" x14ac:dyDescent="0.25">
      <c r="A8532" s="4">
        <v>8527</v>
      </c>
      <c r="B8532" s="3" t="str">
        <f>"00667549"</f>
        <v>00667549</v>
      </c>
    </row>
    <row r="8533" spans="1:2" x14ac:dyDescent="0.25">
      <c r="A8533" s="4">
        <v>8528</v>
      </c>
      <c r="B8533" s="3" t="str">
        <f>"00667556"</f>
        <v>00667556</v>
      </c>
    </row>
    <row r="8534" spans="1:2" x14ac:dyDescent="0.25">
      <c r="A8534" s="4">
        <v>8529</v>
      </c>
      <c r="B8534" s="3" t="str">
        <f>"00667566"</f>
        <v>00667566</v>
      </c>
    </row>
    <row r="8535" spans="1:2" x14ac:dyDescent="0.25">
      <c r="A8535" s="4">
        <v>8530</v>
      </c>
      <c r="B8535" s="3" t="str">
        <f>"00667608"</f>
        <v>00667608</v>
      </c>
    </row>
    <row r="8536" spans="1:2" x14ac:dyDescent="0.25">
      <c r="A8536" s="4">
        <v>8531</v>
      </c>
      <c r="B8536" s="3" t="str">
        <f>"00667625"</f>
        <v>00667625</v>
      </c>
    </row>
    <row r="8537" spans="1:2" x14ac:dyDescent="0.25">
      <c r="A8537" s="4">
        <v>8532</v>
      </c>
      <c r="B8537" s="3" t="str">
        <f>"00667638"</f>
        <v>00667638</v>
      </c>
    </row>
    <row r="8538" spans="1:2" x14ac:dyDescent="0.25">
      <c r="A8538" s="4">
        <v>8533</v>
      </c>
      <c r="B8538" s="3" t="str">
        <f>"00667664"</f>
        <v>00667664</v>
      </c>
    </row>
    <row r="8539" spans="1:2" x14ac:dyDescent="0.25">
      <c r="A8539" s="4">
        <v>8534</v>
      </c>
      <c r="B8539" s="3" t="str">
        <f>"00667677"</f>
        <v>00667677</v>
      </c>
    </row>
    <row r="8540" spans="1:2" x14ac:dyDescent="0.25">
      <c r="A8540" s="4">
        <v>8535</v>
      </c>
      <c r="B8540" s="3" t="str">
        <f>"00667678"</f>
        <v>00667678</v>
      </c>
    </row>
    <row r="8541" spans="1:2" x14ac:dyDescent="0.25">
      <c r="A8541" s="4">
        <v>8536</v>
      </c>
      <c r="B8541" s="3" t="str">
        <f>"00667700"</f>
        <v>00667700</v>
      </c>
    </row>
    <row r="8542" spans="1:2" x14ac:dyDescent="0.25">
      <c r="A8542" s="4">
        <v>8537</v>
      </c>
      <c r="B8542" s="3" t="str">
        <f>"00667735"</f>
        <v>00667735</v>
      </c>
    </row>
    <row r="8543" spans="1:2" x14ac:dyDescent="0.25">
      <c r="A8543" s="4">
        <v>8538</v>
      </c>
      <c r="B8543" s="3" t="str">
        <f>"00667738"</f>
        <v>00667738</v>
      </c>
    </row>
    <row r="8544" spans="1:2" x14ac:dyDescent="0.25">
      <c r="A8544" s="4">
        <v>8539</v>
      </c>
      <c r="B8544" s="3" t="str">
        <f>"00667743"</f>
        <v>00667743</v>
      </c>
    </row>
    <row r="8545" spans="1:2" x14ac:dyDescent="0.25">
      <c r="A8545" s="4">
        <v>8540</v>
      </c>
      <c r="B8545" s="3" t="str">
        <f>"00667745"</f>
        <v>00667745</v>
      </c>
    </row>
    <row r="8546" spans="1:2" x14ac:dyDescent="0.25">
      <c r="A8546" s="4">
        <v>8541</v>
      </c>
      <c r="B8546" s="3" t="str">
        <f>"00667794"</f>
        <v>00667794</v>
      </c>
    </row>
    <row r="8547" spans="1:2" x14ac:dyDescent="0.25">
      <c r="A8547" s="4">
        <v>8542</v>
      </c>
      <c r="B8547" s="3" t="str">
        <f>"00667807"</f>
        <v>00667807</v>
      </c>
    </row>
    <row r="8548" spans="1:2" x14ac:dyDescent="0.25">
      <c r="A8548" s="4">
        <v>8543</v>
      </c>
      <c r="B8548" s="3" t="str">
        <f>"00667814"</f>
        <v>00667814</v>
      </c>
    </row>
    <row r="8549" spans="1:2" x14ac:dyDescent="0.25">
      <c r="A8549" s="4">
        <v>8544</v>
      </c>
      <c r="B8549" s="3" t="str">
        <f>"00667832"</f>
        <v>00667832</v>
      </c>
    </row>
    <row r="8550" spans="1:2" x14ac:dyDescent="0.25">
      <c r="A8550" s="4">
        <v>8545</v>
      </c>
      <c r="B8550" s="3" t="str">
        <f>"00667869"</f>
        <v>00667869</v>
      </c>
    </row>
    <row r="8551" spans="1:2" x14ac:dyDescent="0.25">
      <c r="A8551" s="4">
        <v>8546</v>
      </c>
      <c r="B8551" s="3" t="str">
        <f>"00667882"</f>
        <v>00667882</v>
      </c>
    </row>
    <row r="8552" spans="1:2" x14ac:dyDescent="0.25">
      <c r="A8552" s="4">
        <v>8547</v>
      </c>
      <c r="B8552" s="3" t="str">
        <f>"00667906"</f>
        <v>00667906</v>
      </c>
    </row>
    <row r="8553" spans="1:2" x14ac:dyDescent="0.25">
      <c r="A8553" s="4">
        <v>8548</v>
      </c>
      <c r="B8553" s="3" t="str">
        <f>"00667908"</f>
        <v>00667908</v>
      </c>
    </row>
    <row r="8554" spans="1:2" x14ac:dyDescent="0.25">
      <c r="A8554" s="4">
        <v>8549</v>
      </c>
      <c r="B8554" s="3" t="str">
        <f>"00667913"</f>
        <v>00667913</v>
      </c>
    </row>
    <row r="8555" spans="1:2" x14ac:dyDescent="0.25">
      <c r="A8555" s="4">
        <v>8550</v>
      </c>
      <c r="B8555" s="3" t="str">
        <f>"00667926"</f>
        <v>00667926</v>
      </c>
    </row>
    <row r="8556" spans="1:2" x14ac:dyDescent="0.25">
      <c r="A8556" s="4">
        <v>8551</v>
      </c>
      <c r="B8556" s="3" t="str">
        <f>"00667932"</f>
        <v>00667932</v>
      </c>
    </row>
    <row r="8557" spans="1:2" x14ac:dyDescent="0.25">
      <c r="A8557" s="4">
        <v>8552</v>
      </c>
      <c r="B8557" s="3" t="str">
        <f>"00667946"</f>
        <v>00667946</v>
      </c>
    </row>
    <row r="8558" spans="1:2" x14ac:dyDescent="0.25">
      <c r="A8558" s="4">
        <v>8553</v>
      </c>
      <c r="B8558" s="3" t="str">
        <f>"00667962"</f>
        <v>00667962</v>
      </c>
    </row>
    <row r="8559" spans="1:2" x14ac:dyDescent="0.25">
      <c r="A8559" s="4">
        <v>8554</v>
      </c>
      <c r="B8559" s="3" t="str">
        <f>"00667968"</f>
        <v>00667968</v>
      </c>
    </row>
    <row r="8560" spans="1:2" x14ac:dyDescent="0.25">
      <c r="A8560" s="4">
        <v>8555</v>
      </c>
      <c r="B8560" s="3" t="str">
        <f>"00667992"</f>
        <v>00667992</v>
      </c>
    </row>
    <row r="8561" spans="1:2" x14ac:dyDescent="0.25">
      <c r="A8561" s="4">
        <v>8556</v>
      </c>
      <c r="B8561" s="3" t="str">
        <f>"00667999"</f>
        <v>00667999</v>
      </c>
    </row>
    <row r="8562" spans="1:2" x14ac:dyDescent="0.25">
      <c r="A8562" s="4">
        <v>8557</v>
      </c>
      <c r="B8562" s="3" t="str">
        <f>"00668003"</f>
        <v>00668003</v>
      </c>
    </row>
    <row r="8563" spans="1:2" x14ac:dyDescent="0.25">
      <c r="A8563" s="4">
        <v>8558</v>
      </c>
      <c r="B8563" s="3" t="str">
        <f>"00668027"</f>
        <v>00668027</v>
      </c>
    </row>
    <row r="8564" spans="1:2" x14ac:dyDescent="0.25">
      <c r="A8564" s="4">
        <v>8559</v>
      </c>
      <c r="B8564" s="3" t="str">
        <f>"00668082"</f>
        <v>00668082</v>
      </c>
    </row>
    <row r="8565" spans="1:2" x14ac:dyDescent="0.25">
      <c r="A8565" s="4">
        <v>8560</v>
      </c>
      <c r="B8565" s="3" t="str">
        <f>"00668108"</f>
        <v>00668108</v>
      </c>
    </row>
    <row r="8566" spans="1:2" x14ac:dyDescent="0.25">
      <c r="A8566" s="4">
        <v>8561</v>
      </c>
      <c r="B8566" s="3" t="str">
        <f>"00668110"</f>
        <v>00668110</v>
      </c>
    </row>
    <row r="8567" spans="1:2" x14ac:dyDescent="0.25">
      <c r="A8567" s="4">
        <v>8562</v>
      </c>
      <c r="B8567" s="3" t="str">
        <f>"00668113"</f>
        <v>00668113</v>
      </c>
    </row>
    <row r="8568" spans="1:2" x14ac:dyDescent="0.25">
      <c r="A8568" s="4">
        <v>8563</v>
      </c>
      <c r="B8568" s="3" t="str">
        <f>"00668130"</f>
        <v>00668130</v>
      </c>
    </row>
    <row r="8569" spans="1:2" x14ac:dyDescent="0.25">
      <c r="A8569" s="4">
        <v>8564</v>
      </c>
      <c r="B8569" s="3" t="str">
        <f>"00668135"</f>
        <v>00668135</v>
      </c>
    </row>
    <row r="8570" spans="1:2" x14ac:dyDescent="0.25">
      <c r="A8570" s="4">
        <v>8565</v>
      </c>
      <c r="B8570" s="3" t="str">
        <f>"00668151"</f>
        <v>00668151</v>
      </c>
    </row>
    <row r="8571" spans="1:2" x14ac:dyDescent="0.25">
      <c r="A8571" s="4">
        <v>8566</v>
      </c>
      <c r="B8571" s="3" t="str">
        <f>"00668169"</f>
        <v>00668169</v>
      </c>
    </row>
    <row r="8572" spans="1:2" x14ac:dyDescent="0.25">
      <c r="A8572" s="4">
        <v>8567</v>
      </c>
      <c r="B8572" s="3" t="str">
        <f>"00668173"</f>
        <v>00668173</v>
      </c>
    </row>
    <row r="8573" spans="1:2" x14ac:dyDescent="0.25">
      <c r="A8573" s="4">
        <v>8568</v>
      </c>
      <c r="B8573" s="3" t="str">
        <f>"00668177"</f>
        <v>00668177</v>
      </c>
    </row>
    <row r="8574" spans="1:2" x14ac:dyDescent="0.25">
      <c r="A8574" s="4">
        <v>8569</v>
      </c>
      <c r="B8574" s="3" t="str">
        <f>"00668193"</f>
        <v>00668193</v>
      </c>
    </row>
    <row r="8575" spans="1:2" x14ac:dyDescent="0.25">
      <c r="A8575" s="4">
        <v>8570</v>
      </c>
      <c r="B8575" s="3" t="str">
        <f>"00668194"</f>
        <v>00668194</v>
      </c>
    </row>
    <row r="8576" spans="1:2" x14ac:dyDescent="0.25">
      <c r="A8576" s="4">
        <v>8571</v>
      </c>
      <c r="B8576" s="3" t="str">
        <f>"00668212"</f>
        <v>00668212</v>
      </c>
    </row>
    <row r="8577" spans="1:2" x14ac:dyDescent="0.25">
      <c r="A8577" s="4">
        <v>8572</v>
      </c>
      <c r="B8577" s="3" t="str">
        <f>"00668222"</f>
        <v>00668222</v>
      </c>
    </row>
    <row r="8578" spans="1:2" x14ac:dyDescent="0.25">
      <c r="A8578" s="4">
        <v>8573</v>
      </c>
      <c r="B8578" s="3" t="str">
        <f>"00668237"</f>
        <v>00668237</v>
      </c>
    </row>
    <row r="8579" spans="1:2" x14ac:dyDescent="0.25">
      <c r="A8579" s="4">
        <v>8574</v>
      </c>
      <c r="B8579" s="3" t="str">
        <f>"00668248"</f>
        <v>00668248</v>
      </c>
    </row>
    <row r="8580" spans="1:2" x14ac:dyDescent="0.25">
      <c r="A8580" s="4">
        <v>8575</v>
      </c>
      <c r="B8580" s="3" t="str">
        <f>"00668249"</f>
        <v>00668249</v>
      </c>
    </row>
    <row r="8581" spans="1:2" x14ac:dyDescent="0.25">
      <c r="A8581" s="4">
        <v>8576</v>
      </c>
      <c r="B8581" s="3" t="str">
        <f>"00668258"</f>
        <v>00668258</v>
      </c>
    </row>
    <row r="8582" spans="1:2" x14ac:dyDescent="0.25">
      <c r="A8582" s="4">
        <v>8577</v>
      </c>
      <c r="B8582" s="3" t="str">
        <f>"00668264"</f>
        <v>00668264</v>
      </c>
    </row>
    <row r="8583" spans="1:2" x14ac:dyDescent="0.25">
      <c r="A8583" s="4">
        <v>8578</v>
      </c>
      <c r="B8583" s="3" t="str">
        <f>"00668266"</f>
        <v>00668266</v>
      </c>
    </row>
    <row r="8584" spans="1:2" x14ac:dyDescent="0.25">
      <c r="A8584" s="4">
        <v>8579</v>
      </c>
      <c r="B8584" s="3" t="str">
        <f>"00668267"</f>
        <v>00668267</v>
      </c>
    </row>
    <row r="8585" spans="1:2" x14ac:dyDescent="0.25">
      <c r="A8585" s="4">
        <v>8580</v>
      </c>
      <c r="B8585" s="3" t="str">
        <f>"00668271"</f>
        <v>00668271</v>
      </c>
    </row>
    <row r="8586" spans="1:2" x14ac:dyDescent="0.25">
      <c r="A8586" s="4">
        <v>8581</v>
      </c>
      <c r="B8586" s="3" t="str">
        <f>"00668280"</f>
        <v>00668280</v>
      </c>
    </row>
    <row r="8587" spans="1:2" x14ac:dyDescent="0.25">
      <c r="A8587" s="4">
        <v>8582</v>
      </c>
      <c r="B8587" s="3" t="str">
        <f>"00668292"</f>
        <v>00668292</v>
      </c>
    </row>
    <row r="8588" spans="1:2" x14ac:dyDescent="0.25">
      <c r="A8588" s="4">
        <v>8583</v>
      </c>
      <c r="B8588" s="3" t="str">
        <f>"00668360"</f>
        <v>00668360</v>
      </c>
    </row>
    <row r="8589" spans="1:2" x14ac:dyDescent="0.25">
      <c r="A8589" s="4">
        <v>8584</v>
      </c>
      <c r="B8589" s="3" t="str">
        <f>"00668377"</f>
        <v>00668377</v>
      </c>
    </row>
    <row r="8590" spans="1:2" x14ac:dyDescent="0.25">
      <c r="A8590" s="4">
        <v>8585</v>
      </c>
      <c r="B8590" s="3" t="str">
        <f>"00668386"</f>
        <v>00668386</v>
      </c>
    </row>
    <row r="8591" spans="1:2" x14ac:dyDescent="0.25">
      <c r="A8591" s="4">
        <v>8586</v>
      </c>
      <c r="B8591" s="3" t="str">
        <f>"00668396"</f>
        <v>00668396</v>
      </c>
    </row>
    <row r="8592" spans="1:2" x14ac:dyDescent="0.25">
      <c r="A8592" s="4">
        <v>8587</v>
      </c>
      <c r="B8592" s="19" t="s">
        <v>7</v>
      </c>
    </row>
    <row r="8593" spans="1:2" x14ac:dyDescent="0.25">
      <c r="A8593" s="4">
        <v>8588</v>
      </c>
      <c r="B8593" s="3" t="str">
        <f>"00668407"</f>
        <v>00668407</v>
      </c>
    </row>
    <row r="8594" spans="1:2" x14ac:dyDescent="0.25">
      <c r="A8594" s="4">
        <v>8589</v>
      </c>
      <c r="B8594" s="3" t="str">
        <f>"00668417"</f>
        <v>00668417</v>
      </c>
    </row>
    <row r="8595" spans="1:2" x14ac:dyDescent="0.25">
      <c r="A8595" s="4">
        <v>8590</v>
      </c>
      <c r="B8595" s="3" t="str">
        <f>"00668443"</f>
        <v>00668443</v>
      </c>
    </row>
    <row r="8596" spans="1:2" x14ac:dyDescent="0.25">
      <c r="A8596" s="4">
        <v>8591</v>
      </c>
      <c r="B8596" s="3" t="str">
        <f>"00668445"</f>
        <v>00668445</v>
      </c>
    </row>
    <row r="8597" spans="1:2" x14ac:dyDescent="0.25">
      <c r="A8597" s="4">
        <v>8592</v>
      </c>
      <c r="B8597" s="3" t="str">
        <f>"00668452"</f>
        <v>00668452</v>
      </c>
    </row>
    <row r="8598" spans="1:2" x14ac:dyDescent="0.25">
      <c r="A8598" s="4">
        <v>8593</v>
      </c>
      <c r="B8598" s="3" t="str">
        <f>"00668453"</f>
        <v>00668453</v>
      </c>
    </row>
    <row r="8599" spans="1:2" x14ac:dyDescent="0.25">
      <c r="A8599" s="4">
        <v>8594</v>
      </c>
      <c r="B8599" s="3" t="str">
        <f>"00668463"</f>
        <v>00668463</v>
      </c>
    </row>
    <row r="8600" spans="1:2" x14ac:dyDescent="0.25">
      <c r="A8600" s="4">
        <v>8595</v>
      </c>
      <c r="B8600" s="3" t="str">
        <f>"00668485"</f>
        <v>00668485</v>
      </c>
    </row>
    <row r="8601" spans="1:2" x14ac:dyDescent="0.25">
      <c r="A8601" s="4">
        <v>8596</v>
      </c>
      <c r="B8601" s="3" t="str">
        <f>"00668487"</f>
        <v>00668487</v>
      </c>
    </row>
    <row r="8602" spans="1:2" x14ac:dyDescent="0.25">
      <c r="A8602" s="4">
        <v>8597</v>
      </c>
      <c r="B8602" s="3" t="str">
        <f>"00668498"</f>
        <v>00668498</v>
      </c>
    </row>
    <row r="8603" spans="1:2" x14ac:dyDescent="0.25">
      <c r="A8603" s="4">
        <v>8598</v>
      </c>
      <c r="B8603" s="3" t="str">
        <f>"00668502"</f>
        <v>00668502</v>
      </c>
    </row>
    <row r="8604" spans="1:2" x14ac:dyDescent="0.25">
      <c r="A8604" s="4">
        <v>8599</v>
      </c>
      <c r="B8604" s="3" t="str">
        <f>"00668509"</f>
        <v>00668509</v>
      </c>
    </row>
    <row r="8605" spans="1:2" x14ac:dyDescent="0.25">
      <c r="A8605" s="4">
        <v>8600</v>
      </c>
      <c r="B8605" s="3" t="str">
        <f>"00668517"</f>
        <v>00668517</v>
      </c>
    </row>
    <row r="8606" spans="1:2" x14ac:dyDescent="0.25">
      <c r="A8606" s="4">
        <v>8601</v>
      </c>
      <c r="B8606" s="3" t="str">
        <f>"00668578"</f>
        <v>00668578</v>
      </c>
    </row>
    <row r="8607" spans="1:2" x14ac:dyDescent="0.25">
      <c r="A8607" s="4">
        <v>8602</v>
      </c>
      <c r="B8607" s="3" t="str">
        <f>"00668586"</f>
        <v>00668586</v>
      </c>
    </row>
    <row r="8608" spans="1:2" x14ac:dyDescent="0.25">
      <c r="A8608" s="4">
        <v>8603</v>
      </c>
      <c r="B8608" s="3" t="str">
        <f>"00668593"</f>
        <v>00668593</v>
      </c>
    </row>
    <row r="8609" spans="1:2" x14ac:dyDescent="0.25">
      <c r="A8609" s="4">
        <v>8604</v>
      </c>
      <c r="B8609" s="3" t="str">
        <f>"00668598"</f>
        <v>00668598</v>
      </c>
    </row>
    <row r="8610" spans="1:2" x14ac:dyDescent="0.25">
      <c r="A8610" s="4">
        <v>8605</v>
      </c>
      <c r="B8610" s="3" t="str">
        <f>"00668628"</f>
        <v>00668628</v>
      </c>
    </row>
    <row r="8611" spans="1:2" x14ac:dyDescent="0.25">
      <c r="A8611" s="4">
        <v>8606</v>
      </c>
      <c r="B8611" s="3" t="str">
        <f>"00668645"</f>
        <v>00668645</v>
      </c>
    </row>
    <row r="8612" spans="1:2" x14ac:dyDescent="0.25">
      <c r="A8612" s="4">
        <v>8607</v>
      </c>
      <c r="B8612" s="3" t="str">
        <f>"00668664"</f>
        <v>00668664</v>
      </c>
    </row>
    <row r="8613" spans="1:2" x14ac:dyDescent="0.25">
      <c r="A8613" s="4">
        <v>8608</v>
      </c>
      <c r="B8613" s="3" t="str">
        <f>"00668667"</f>
        <v>00668667</v>
      </c>
    </row>
    <row r="8614" spans="1:2" x14ac:dyDescent="0.25">
      <c r="A8614" s="4">
        <v>8609</v>
      </c>
      <c r="B8614" s="3" t="str">
        <f>"00668668"</f>
        <v>00668668</v>
      </c>
    </row>
    <row r="8615" spans="1:2" x14ac:dyDescent="0.25">
      <c r="A8615" s="4">
        <v>8610</v>
      </c>
      <c r="B8615" s="3" t="str">
        <f>"00668679"</f>
        <v>00668679</v>
      </c>
    </row>
    <row r="8616" spans="1:2" x14ac:dyDescent="0.25">
      <c r="A8616" s="4">
        <v>8611</v>
      </c>
      <c r="B8616" s="3" t="str">
        <f>"00668708"</f>
        <v>00668708</v>
      </c>
    </row>
    <row r="8617" spans="1:2" x14ac:dyDescent="0.25">
      <c r="A8617" s="4">
        <v>8612</v>
      </c>
      <c r="B8617" s="3" t="str">
        <f>"00668729"</f>
        <v>00668729</v>
      </c>
    </row>
    <row r="8618" spans="1:2" x14ac:dyDescent="0.25">
      <c r="A8618" s="4">
        <v>8613</v>
      </c>
      <c r="B8618" s="3" t="str">
        <f>"00668733"</f>
        <v>00668733</v>
      </c>
    </row>
    <row r="8619" spans="1:2" x14ac:dyDescent="0.25">
      <c r="A8619" s="4">
        <v>8614</v>
      </c>
      <c r="B8619" s="3" t="str">
        <f>"00668744"</f>
        <v>00668744</v>
      </c>
    </row>
    <row r="8620" spans="1:2" x14ac:dyDescent="0.25">
      <c r="A8620" s="4">
        <v>8615</v>
      </c>
      <c r="B8620" s="3" t="str">
        <f>"00668768"</f>
        <v>00668768</v>
      </c>
    </row>
    <row r="8621" spans="1:2" x14ac:dyDescent="0.25">
      <c r="A8621" s="4">
        <v>8616</v>
      </c>
      <c r="B8621" s="3" t="str">
        <f>"00668823"</f>
        <v>00668823</v>
      </c>
    </row>
    <row r="8622" spans="1:2" x14ac:dyDescent="0.25">
      <c r="A8622" s="4">
        <v>8617</v>
      </c>
      <c r="B8622" s="3" t="str">
        <f>"00668824"</f>
        <v>00668824</v>
      </c>
    </row>
    <row r="8623" spans="1:2" x14ac:dyDescent="0.25">
      <c r="A8623" s="4">
        <v>8618</v>
      </c>
      <c r="B8623" s="3" t="str">
        <f>"00668834"</f>
        <v>00668834</v>
      </c>
    </row>
    <row r="8624" spans="1:2" x14ac:dyDescent="0.25">
      <c r="A8624" s="4">
        <v>8619</v>
      </c>
      <c r="B8624" s="3" t="str">
        <f>"00668835"</f>
        <v>00668835</v>
      </c>
    </row>
    <row r="8625" spans="1:2" x14ac:dyDescent="0.25">
      <c r="A8625" s="4">
        <v>8620</v>
      </c>
      <c r="B8625" s="3" t="str">
        <f>"00668848"</f>
        <v>00668848</v>
      </c>
    </row>
    <row r="8626" spans="1:2" x14ac:dyDescent="0.25">
      <c r="A8626" s="4">
        <v>8621</v>
      </c>
      <c r="B8626" s="3" t="str">
        <f>"00668850"</f>
        <v>00668850</v>
      </c>
    </row>
    <row r="8627" spans="1:2" x14ac:dyDescent="0.25">
      <c r="A8627" s="4">
        <v>8622</v>
      </c>
      <c r="B8627" s="3" t="str">
        <f>"00668853"</f>
        <v>00668853</v>
      </c>
    </row>
    <row r="8628" spans="1:2" x14ac:dyDescent="0.25">
      <c r="A8628" s="4">
        <v>8623</v>
      </c>
      <c r="B8628" s="3" t="str">
        <f>"00668912"</f>
        <v>00668912</v>
      </c>
    </row>
    <row r="8629" spans="1:2" x14ac:dyDescent="0.25">
      <c r="A8629" s="4">
        <v>8624</v>
      </c>
      <c r="B8629" s="3" t="str">
        <f>"00668927"</f>
        <v>00668927</v>
      </c>
    </row>
    <row r="8630" spans="1:2" x14ac:dyDescent="0.25">
      <c r="A8630" s="4">
        <v>8625</v>
      </c>
      <c r="B8630" s="3" t="str">
        <f>"00668947"</f>
        <v>00668947</v>
      </c>
    </row>
    <row r="8631" spans="1:2" x14ac:dyDescent="0.25">
      <c r="A8631" s="4">
        <v>8626</v>
      </c>
      <c r="B8631" s="3" t="str">
        <f>"00668950"</f>
        <v>00668950</v>
      </c>
    </row>
    <row r="8632" spans="1:2" x14ac:dyDescent="0.25">
      <c r="A8632" s="4">
        <v>8627</v>
      </c>
      <c r="B8632" s="3" t="str">
        <f>"00668957"</f>
        <v>00668957</v>
      </c>
    </row>
    <row r="8633" spans="1:2" x14ac:dyDescent="0.25">
      <c r="A8633" s="4">
        <v>8628</v>
      </c>
      <c r="B8633" s="3" t="str">
        <f>"00668959"</f>
        <v>00668959</v>
      </c>
    </row>
    <row r="8634" spans="1:2" x14ac:dyDescent="0.25">
      <c r="A8634" s="4">
        <v>8629</v>
      </c>
      <c r="B8634" s="3" t="str">
        <f>"00668967"</f>
        <v>00668967</v>
      </c>
    </row>
    <row r="8635" spans="1:2" x14ac:dyDescent="0.25">
      <c r="A8635" s="4">
        <v>8630</v>
      </c>
      <c r="B8635" s="3" t="str">
        <f>"00668971"</f>
        <v>00668971</v>
      </c>
    </row>
    <row r="8636" spans="1:2" x14ac:dyDescent="0.25">
      <c r="A8636" s="4">
        <v>8631</v>
      </c>
      <c r="B8636" s="3" t="str">
        <f>"00668978"</f>
        <v>00668978</v>
      </c>
    </row>
    <row r="8637" spans="1:2" x14ac:dyDescent="0.25">
      <c r="A8637" s="4">
        <v>8632</v>
      </c>
      <c r="B8637" s="3" t="str">
        <f>"00668980"</f>
        <v>00668980</v>
      </c>
    </row>
    <row r="8638" spans="1:2" x14ac:dyDescent="0.25">
      <c r="A8638" s="4">
        <v>8633</v>
      </c>
      <c r="B8638" s="3" t="str">
        <f>"00668986"</f>
        <v>00668986</v>
      </c>
    </row>
    <row r="8639" spans="1:2" x14ac:dyDescent="0.25">
      <c r="A8639" s="4">
        <v>8634</v>
      </c>
      <c r="B8639" s="3" t="str">
        <f>"00668987"</f>
        <v>00668987</v>
      </c>
    </row>
    <row r="8640" spans="1:2" x14ac:dyDescent="0.25">
      <c r="A8640" s="4">
        <v>8635</v>
      </c>
      <c r="B8640" s="3" t="str">
        <f>"00669002"</f>
        <v>00669002</v>
      </c>
    </row>
    <row r="8641" spans="1:2" x14ac:dyDescent="0.25">
      <c r="A8641" s="4">
        <v>8636</v>
      </c>
      <c r="B8641" s="3" t="str">
        <f>"00669003"</f>
        <v>00669003</v>
      </c>
    </row>
    <row r="8642" spans="1:2" x14ac:dyDescent="0.25">
      <c r="A8642" s="4">
        <v>8637</v>
      </c>
      <c r="B8642" s="3" t="str">
        <f>"00669017"</f>
        <v>00669017</v>
      </c>
    </row>
    <row r="8643" spans="1:2" x14ac:dyDescent="0.25">
      <c r="A8643" s="4">
        <v>8638</v>
      </c>
      <c r="B8643" s="3" t="str">
        <f>"00669020"</f>
        <v>00669020</v>
      </c>
    </row>
    <row r="8644" spans="1:2" x14ac:dyDescent="0.25">
      <c r="A8644" s="4">
        <v>8639</v>
      </c>
      <c r="B8644" s="3" t="str">
        <f>"00669021"</f>
        <v>00669021</v>
      </c>
    </row>
    <row r="8645" spans="1:2" x14ac:dyDescent="0.25">
      <c r="A8645" s="4">
        <v>8640</v>
      </c>
      <c r="B8645" s="3" t="str">
        <f>"00669031"</f>
        <v>00669031</v>
      </c>
    </row>
    <row r="8646" spans="1:2" x14ac:dyDescent="0.25">
      <c r="A8646" s="4">
        <v>8641</v>
      </c>
      <c r="B8646" s="3" t="str">
        <f>"00669035"</f>
        <v>00669035</v>
      </c>
    </row>
    <row r="8647" spans="1:2" x14ac:dyDescent="0.25">
      <c r="A8647" s="4">
        <v>8642</v>
      </c>
      <c r="B8647" s="3" t="str">
        <f>"00669060"</f>
        <v>00669060</v>
      </c>
    </row>
    <row r="8648" spans="1:2" x14ac:dyDescent="0.25">
      <c r="A8648" s="4">
        <v>8643</v>
      </c>
      <c r="B8648" s="3" t="str">
        <f>"00669070"</f>
        <v>00669070</v>
      </c>
    </row>
    <row r="8649" spans="1:2" x14ac:dyDescent="0.25">
      <c r="A8649" s="4">
        <v>8644</v>
      </c>
      <c r="B8649" s="3" t="str">
        <f>"00669073"</f>
        <v>00669073</v>
      </c>
    </row>
    <row r="8650" spans="1:2" x14ac:dyDescent="0.25">
      <c r="A8650" s="4">
        <v>8645</v>
      </c>
      <c r="B8650" s="3" t="str">
        <f>"00669074"</f>
        <v>00669074</v>
      </c>
    </row>
    <row r="8651" spans="1:2" x14ac:dyDescent="0.25">
      <c r="A8651" s="4">
        <v>8646</v>
      </c>
      <c r="B8651" s="3" t="str">
        <f>"00669079"</f>
        <v>00669079</v>
      </c>
    </row>
    <row r="8652" spans="1:2" x14ac:dyDescent="0.25">
      <c r="A8652" s="4">
        <v>8647</v>
      </c>
      <c r="B8652" s="3" t="str">
        <f>"00669096"</f>
        <v>00669096</v>
      </c>
    </row>
    <row r="8653" spans="1:2" x14ac:dyDescent="0.25">
      <c r="A8653" s="4">
        <v>8648</v>
      </c>
      <c r="B8653" s="3" t="str">
        <f>"00669103"</f>
        <v>00669103</v>
      </c>
    </row>
    <row r="8654" spans="1:2" x14ac:dyDescent="0.25">
      <c r="A8654" s="4">
        <v>8649</v>
      </c>
      <c r="B8654" s="3" t="str">
        <f>"00669110"</f>
        <v>00669110</v>
      </c>
    </row>
    <row r="8655" spans="1:2" x14ac:dyDescent="0.25">
      <c r="A8655" s="4">
        <v>8650</v>
      </c>
      <c r="B8655" s="3" t="str">
        <f>"00669162"</f>
        <v>00669162</v>
      </c>
    </row>
    <row r="8656" spans="1:2" x14ac:dyDescent="0.25">
      <c r="A8656" s="4">
        <v>8651</v>
      </c>
      <c r="B8656" s="3" t="str">
        <f>"00669170"</f>
        <v>00669170</v>
      </c>
    </row>
    <row r="8657" spans="1:2" x14ac:dyDescent="0.25">
      <c r="A8657" s="4">
        <v>8652</v>
      </c>
      <c r="B8657" s="3" t="str">
        <f>"00669196"</f>
        <v>00669196</v>
      </c>
    </row>
    <row r="8658" spans="1:2" x14ac:dyDescent="0.25">
      <c r="A8658" s="4">
        <v>8653</v>
      </c>
      <c r="B8658" s="3" t="str">
        <f>"00669204"</f>
        <v>00669204</v>
      </c>
    </row>
    <row r="8659" spans="1:2" x14ac:dyDescent="0.25">
      <c r="A8659" s="4">
        <v>8654</v>
      </c>
      <c r="B8659" s="3" t="str">
        <f>"00669208"</f>
        <v>00669208</v>
      </c>
    </row>
    <row r="8660" spans="1:2" x14ac:dyDescent="0.25">
      <c r="A8660" s="4">
        <v>8655</v>
      </c>
      <c r="B8660" s="3" t="str">
        <f>"00669211"</f>
        <v>00669211</v>
      </c>
    </row>
    <row r="8661" spans="1:2" x14ac:dyDescent="0.25">
      <c r="A8661" s="4">
        <v>8656</v>
      </c>
      <c r="B8661" s="3" t="str">
        <f>"00669220"</f>
        <v>00669220</v>
      </c>
    </row>
    <row r="8662" spans="1:2" x14ac:dyDescent="0.25">
      <c r="A8662" s="4">
        <v>8657</v>
      </c>
      <c r="B8662" s="3" t="str">
        <f>"00669234"</f>
        <v>00669234</v>
      </c>
    </row>
    <row r="8663" spans="1:2" x14ac:dyDescent="0.25">
      <c r="A8663" s="4">
        <v>8658</v>
      </c>
      <c r="B8663" s="3" t="str">
        <f>"00669238"</f>
        <v>00669238</v>
      </c>
    </row>
    <row r="8664" spans="1:2" x14ac:dyDescent="0.25">
      <c r="A8664" s="4">
        <v>8659</v>
      </c>
      <c r="B8664" s="3" t="str">
        <f>"00669260"</f>
        <v>00669260</v>
      </c>
    </row>
    <row r="8665" spans="1:2" x14ac:dyDescent="0.25">
      <c r="A8665" s="4">
        <v>8660</v>
      </c>
      <c r="B8665" s="3" t="str">
        <f>"00669276"</f>
        <v>00669276</v>
      </c>
    </row>
    <row r="8666" spans="1:2" x14ac:dyDescent="0.25">
      <c r="A8666" s="4">
        <v>8661</v>
      </c>
      <c r="B8666" s="3" t="str">
        <f>"00669292"</f>
        <v>00669292</v>
      </c>
    </row>
    <row r="8667" spans="1:2" x14ac:dyDescent="0.25">
      <c r="A8667" s="4">
        <v>8662</v>
      </c>
      <c r="B8667" s="3" t="str">
        <f>"00669325"</f>
        <v>00669325</v>
      </c>
    </row>
    <row r="8668" spans="1:2" x14ac:dyDescent="0.25">
      <c r="A8668" s="4">
        <v>8663</v>
      </c>
      <c r="B8668" s="3" t="str">
        <f>"00669341"</f>
        <v>00669341</v>
      </c>
    </row>
    <row r="8669" spans="1:2" x14ac:dyDescent="0.25">
      <c r="A8669" s="4">
        <v>8664</v>
      </c>
      <c r="B8669" s="3" t="str">
        <f>"00669345"</f>
        <v>00669345</v>
      </c>
    </row>
    <row r="8670" spans="1:2" x14ac:dyDescent="0.25">
      <c r="A8670" s="4">
        <v>8665</v>
      </c>
      <c r="B8670" s="3" t="str">
        <f>"00669366"</f>
        <v>00669366</v>
      </c>
    </row>
    <row r="8671" spans="1:2" x14ac:dyDescent="0.25">
      <c r="A8671" s="4">
        <v>8666</v>
      </c>
      <c r="B8671" s="3" t="str">
        <f>"00669387"</f>
        <v>00669387</v>
      </c>
    </row>
    <row r="8672" spans="1:2" x14ac:dyDescent="0.25">
      <c r="A8672" s="4">
        <v>8667</v>
      </c>
      <c r="B8672" s="3" t="str">
        <f>"00669396"</f>
        <v>00669396</v>
      </c>
    </row>
    <row r="8673" spans="1:2" x14ac:dyDescent="0.25">
      <c r="A8673" s="4">
        <v>8668</v>
      </c>
      <c r="B8673" s="3" t="str">
        <f>"00669400"</f>
        <v>00669400</v>
      </c>
    </row>
    <row r="8674" spans="1:2" x14ac:dyDescent="0.25">
      <c r="A8674" s="4">
        <v>8669</v>
      </c>
      <c r="B8674" s="3" t="str">
        <f>"00669420"</f>
        <v>00669420</v>
      </c>
    </row>
    <row r="8675" spans="1:2" x14ac:dyDescent="0.25">
      <c r="A8675" s="4">
        <v>8670</v>
      </c>
      <c r="B8675" s="3" t="str">
        <f>"00669455"</f>
        <v>00669455</v>
      </c>
    </row>
    <row r="8676" spans="1:2" x14ac:dyDescent="0.25">
      <c r="A8676" s="4">
        <v>8671</v>
      </c>
      <c r="B8676" s="3" t="str">
        <f>"00669470"</f>
        <v>00669470</v>
      </c>
    </row>
    <row r="8677" spans="1:2" x14ac:dyDescent="0.25">
      <c r="A8677" s="4">
        <v>8672</v>
      </c>
      <c r="B8677" s="3" t="str">
        <f>"00669473"</f>
        <v>00669473</v>
      </c>
    </row>
    <row r="8678" spans="1:2" x14ac:dyDescent="0.25">
      <c r="A8678" s="4">
        <v>8673</v>
      </c>
      <c r="B8678" s="3" t="str">
        <f>"00669475"</f>
        <v>00669475</v>
      </c>
    </row>
    <row r="8679" spans="1:2" x14ac:dyDescent="0.25">
      <c r="A8679" s="4">
        <v>8674</v>
      </c>
      <c r="B8679" s="3" t="str">
        <f>"00669478"</f>
        <v>00669478</v>
      </c>
    </row>
    <row r="8680" spans="1:2" x14ac:dyDescent="0.25">
      <c r="A8680" s="4">
        <v>8675</v>
      </c>
      <c r="B8680" s="3" t="str">
        <f>"00669486"</f>
        <v>00669486</v>
      </c>
    </row>
    <row r="8681" spans="1:2" x14ac:dyDescent="0.25">
      <c r="A8681" s="4">
        <v>8676</v>
      </c>
      <c r="B8681" s="3" t="str">
        <f>"00669490"</f>
        <v>00669490</v>
      </c>
    </row>
    <row r="8682" spans="1:2" x14ac:dyDescent="0.25">
      <c r="A8682" s="4">
        <v>8677</v>
      </c>
      <c r="B8682" s="3" t="str">
        <f>"00669499"</f>
        <v>00669499</v>
      </c>
    </row>
    <row r="8683" spans="1:2" x14ac:dyDescent="0.25">
      <c r="A8683" s="4">
        <v>8678</v>
      </c>
      <c r="B8683" s="3" t="str">
        <f>"00669521"</f>
        <v>00669521</v>
      </c>
    </row>
    <row r="8684" spans="1:2" x14ac:dyDescent="0.25">
      <c r="A8684" s="4">
        <v>8679</v>
      </c>
      <c r="B8684" s="3" t="str">
        <f>"00669527"</f>
        <v>00669527</v>
      </c>
    </row>
    <row r="8685" spans="1:2" x14ac:dyDescent="0.25">
      <c r="A8685" s="4">
        <v>8680</v>
      </c>
      <c r="B8685" s="3" t="str">
        <f>"00669540"</f>
        <v>00669540</v>
      </c>
    </row>
    <row r="8686" spans="1:2" x14ac:dyDescent="0.25">
      <c r="A8686" s="4">
        <v>8681</v>
      </c>
      <c r="B8686" s="3" t="str">
        <f>"00669546"</f>
        <v>00669546</v>
      </c>
    </row>
    <row r="8687" spans="1:2" x14ac:dyDescent="0.25">
      <c r="A8687" s="4">
        <v>8682</v>
      </c>
      <c r="B8687" s="3" t="str">
        <f>"00669572"</f>
        <v>00669572</v>
      </c>
    </row>
    <row r="8688" spans="1:2" x14ac:dyDescent="0.25">
      <c r="A8688" s="4">
        <v>8683</v>
      </c>
      <c r="B8688" s="3" t="str">
        <f>"00669577"</f>
        <v>00669577</v>
      </c>
    </row>
    <row r="8689" spans="1:2" x14ac:dyDescent="0.25">
      <c r="A8689" s="4">
        <v>8684</v>
      </c>
      <c r="B8689" s="3" t="str">
        <f>"00669637"</f>
        <v>00669637</v>
      </c>
    </row>
    <row r="8690" spans="1:2" x14ac:dyDescent="0.25">
      <c r="A8690" s="4">
        <v>8685</v>
      </c>
      <c r="B8690" s="3" t="str">
        <f>"00669648"</f>
        <v>00669648</v>
      </c>
    </row>
    <row r="8691" spans="1:2" x14ac:dyDescent="0.25">
      <c r="A8691" s="4">
        <v>8686</v>
      </c>
      <c r="B8691" s="3" t="str">
        <f>"00669670"</f>
        <v>00669670</v>
      </c>
    </row>
    <row r="8692" spans="1:2" x14ac:dyDescent="0.25">
      <c r="A8692" s="4">
        <v>8687</v>
      </c>
      <c r="B8692" s="3" t="str">
        <f>"00669674"</f>
        <v>00669674</v>
      </c>
    </row>
    <row r="8693" spans="1:2" x14ac:dyDescent="0.25">
      <c r="A8693" s="4">
        <v>8688</v>
      </c>
      <c r="B8693" s="3" t="str">
        <f>"00669681"</f>
        <v>00669681</v>
      </c>
    </row>
    <row r="8694" spans="1:2" x14ac:dyDescent="0.25">
      <c r="A8694" s="4">
        <v>8689</v>
      </c>
      <c r="B8694" s="3" t="str">
        <f>"00669702"</f>
        <v>00669702</v>
      </c>
    </row>
    <row r="8695" spans="1:2" x14ac:dyDescent="0.25">
      <c r="A8695" s="4">
        <v>8690</v>
      </c>
      <c r="B8695" s="3" t="str">
        <f>"00669721"</f>
        <v>00669721</v>
      </c>
    </row>
    <row r="8696" spans="1:2" x14ac:dyDescent="0.25">
      <c r="A8696" s="4">
        <v>8691</v>
      </c>
      <c r="B8696" s="3" t="str">
        <f>"00669726"</f>
        <v>00669726</v>
      </c>
    </row>
    <row r="8697" spans="1:2" x14ac:dyDescent="0.25">
      <c r="A8697" s="4">
        <v>8692</v>
      </c>
      <c r="B8697" s="3" t="str">
        <f>"00669747"</f>
        <v>00669747</v>
      </c>
    </row>
    <row r="8698" spans="1:2" x14ac:dyDescent="0.25">
      <c r="A8698" s="4">
        <v>8693</v>
      </c>
      <c r="B8698" s="3" t="str">
        <f>"00669775"</f>
        <v>00669775</v>
      </c>
    </row>
    <row r="8699" spans="1:2" x14ac:dyDescent="0.25">
      <c r="A8699" s="4">
        <v>8694</v>
      </c>
      <c r="B8699" s="3" t="str">
        <f>"00669794"</f>
        <v>00669794</v>
      </c>
    </row>
    <row r="8700" spans="1:2" x14ac:dyDescent="0.25">
      <c r="A8700" s="4">
        <v>8695</v>
      </c>
      <c r="B8700" s="3" t="str">
        <f>"00669810"</f>
        <v>00669810</v>
      </c>
    </row>
    <row r="8701" spans="1:2" x14ac:dyDescent="0.25">
      <c r="A8701" s="4">
        <v>8696</v>
      </c>
      <c r="B8701" s="3" t="str">
        <f>"00669830"</f>
        <v>00669830</v>
      </c>
    </row>
    <row r="8702" spans="1:2" x14ac:dyDescent="0.25">
      <c r="A8702" s="4">
        <v>8697</v>
      </c>
      <c r="B8702" s="3" t="str">
        <f>"00669849"</f>
        <v>00669849</v>
      </c>
    </row>
    <row r="8703" spans="1:2" x14ac:dyDescent="0.25">
      <c r="A8703" s="4">
        <v>8698</v>
      </c>
      <c r="B8703" s="3" t="str">
        <f>"00669850"</f>
        <v>00669850</v>
      </c>
    </row>
    <row r="8704" spans="1:2" x14ac:dyDescent="0.25">
      <c r="A8704" s="4">
        <v>8699</v>
      </c>
      <c r="B8704" s="3" t="str">
        <f>"00669869"</f>
        <v>00669869</v>
      </c>
    </row>
    <row r="8705" spans="1:2" x14ac:dyDescent="0.25">
      <c r="A8705" s="4">
        <v>8700</v>
      </c>
      <c r="B8705" s="3" t="str">
        <f>"00669876"</f>
        <v>00669876</v>
      </c>
    </row>
    <row r="8706" spans="1:2" x14ac:dyDescent="0.25">
      <c r="A8706" s="4">
        <v>8701</v>
      </c>
      <c r="B8706" s="3" t="str">
        <f>"00669882"</f>
        <v>00669882</v>
      </c>
    </row>
    <row r="8707" spans="1:2" x14ac:dyDescent="0.25">
      <c r="A8707" s="4">
        <v>8702</v>
      </c>
      <c r="B8707" s="3" t="str">
        <f>"00669892"</f>
        <v>00669892</v>
      </c>
    </row>
    <row r="8708" spans="1:2" x14ac:dyDescent="0.25">
      <c r="A8708" s="4">
        <v>8703</v>
      </c>
      <c r="B8708" s="3" t="str">
        <f>"00669908"</f>
        <v>00669908</v>
      </c>
    </row>
    <row r="8709" spans="1:2" x14ac:dyDescent="0.25">
      <c r="A8709" s="4">
        <v>8704</v>
      </c>
      <c r="B8709" s="3" t="str">
        <f>"00669958"</f>
        <v>00669958</v>
      </c>
    </row>
    <row r="8710" spans="1:2" x14ac:dyDescent="0.25">
      <c r="A8710" s="4">
        <v>8705</v>
      </c>
      <c r="B8710" s="3" t="str">
        <f>"00669972"</f>
        <v>00669972</v>
      </c>
    </row>
    <row r="8711" spans="1:2" x14ac:dyDescent="0.25">
      <c r="A8711" s="4">
        <v>8706</v>
      </c>
      <c r="B8711" s="3" t="str">
        <f>"00669991"</f>
        <v>00669991</v>
      </c>
    </row>
    <row r="8712" spans="1:2" x14ac:dyDescent="0.25">
      <c r="A8712" s="4">
        <v>8707</v>
      </c>
      <c r="B8712" s="3" t="str">
        <f>"00670005"</f>
        <v>00670005</v>
      </c>
    </row>
    <row r="8713" spans="1:2" x14ac:dyDescent="0.25">
      <c r="A8713" s="4">
        <v>8708</v>
      </c>
      <c r="B8713" s="3" t="str">
        <f>"00670008"</f>
        <v>00670008</v>
      </c>
    </row>
    <row r="8714" spans="1:2" x14ac:dyDescent="0.25">
      <c r="A8714" s="4">
        <v>8709</v>
      </c>
      <c r="B8714" s="3" t="str">
        <f>"00670009"</f>
        <v>00670009</v>
      </c>
    </row>
    <row r="8715" spans="1:2" x14ac:dyDescent="0.25">
      <c r="A8715" s="4">
        <v>8710</v>
      </c>
      <c r="B8715" s="3" t="str">
        <f>"00670035"</f>
        <v>00670035</v>
      </c>
    </row>
    <row r="8716" spans="1:2" x14ac:dyDescent="0.25">
      <c r="A8716" s="4">
        <v>8711</v>
      </c>
      <c r="B8716" s="3" t="str">
        <f>"00670045"</f>
        <v>00670045</v>
      </c>
    </row>
    <row r="8717" spans="1:2" x14ac:dyDescent="0.25">
      <c r="A8717" s="4">
        <v>8712</v>
      </c>
      <c r="B8717" s="3" t="str">
        <f>"00670108"</f>
        <v>00670108</v>
      </c>
    </row>
    <row r="8718" spans="1:2" x14ac:dyDescent="0.25">
      <c r="A8718" s="4">
        <v>8713</v>
      </c>
      <c r="B8718" s="3" t="str">
        <f>"00670128"</f>
        <v>00670128</v>
      </c>
    </row>
    <row r="8719" spans="1:2" x14ac:dyDescent="0.25">
      <c r="A8719" s="4">
        <v>8714</v>
      </c>
      <c r="B8719" s="3" t="str">
        <f>"00670131"</f>
        <v>00670131</v>
      </c>
    </row>
    <row r="8720" spans="1:2" x14ac:dyDescent="0.25">
      <c r="A8720" s="4">
        <v>8715</v>
      </c>
      <c r="B8720" s="3" t="str">
        <f>"00670144"</f>
        <v>00670144</v>
      </c>
    </row>
    <row r="8721" spans="1:2" x14ac:dyDescent="0.25">
      <c r="A8721" s="4">
        <v>8716</v>
      </c>
      <c r="B8721" s="3" t="str">
        <f>"00670147"</f>
        <v>00670147</v>
      </c>
    </row>
    <row r="8722" spans="1:2" x14ac:dyDescent="0.25">
      <c r="A8722" s="4">
        <v>8717</v>
      </c>
      <c r="B8722" s="3" t="str">
        <f>"00670206"</f>
        <v>00670206</v>
      </c>
    </row>
    <row r="8723" spans="1:2" x14ac:dyDescent="0.25">
      <c r="A8723" s="4">
        <v>8718</v>
      </c>
      <c r="B8723" s="3" t="str">
        <f>"00670224"</f>
        <v>00670224</v>
      </c>
    </row>
    <row r="8724" spans="1:2" x14ac:dyDescent="0.25">
      <c r="A8724" s="4">
        <v>8719</v>
      </c>
      <c r="B8724" s="3" t="str">
        <f>"00670227"</f>
        <v>00670227</v>
      </c>
    </row>
    <row r="8725" spans="1:2" x14ac:dyDescent="0.25">
      <c r="A8725" s="4">
        <v>8720</v>
      </c>
      <c r="B8725" s="3" t="str">
        <f>"00670245"</f>
        <v>00670245</v>
      </c>
    </row>
    <row r="8726" spans="1:2" x14ac:dyDescent="0.25">
      <c r="A8726" s="4">
        <v>8721</v>
      </c>
      <c r="B8726" s="3" t="str">
        <f>"00670262"</f>
        <v>00670262</v>
      </c>
    </row>
    <row r="8727" spans="1:2" x14ac:dyDescent="0.25">
      <c r="A8727" s="4">
        <v>8722</v>
      </c>
      <c r="B8727" s="3" t="str">
        <f>"00670267"</f>
        <v>00670267</v>
      </c>
    </row>
    <row r="8728" spans="1:2" x14ac:dyDescent="0.25">
      <c r="A8728" s="4">
        <v>8723</v>
      </c>
      <c r="B8728" s="3" t="str">
        <f>"00670299"</f>
        <v>00670299</v>
      </c>
    </row>
    <row r="8729" spans="1:2" x14ac:dyDescent="0.25">
      <c r="A8729" s="4">
        <v>8724</v>
      </c>
      <c r="B8729" s="3" t="str">
        <f>"00670308"</f>
        <v>00670308</v>
      </c>
    </row>
    <row r="8730" spans="1:2" x14ac:dyDescent="0.25">
      <c r="A8730" s="4">
        <v>8725</v>
      </c>
      <c r="B8730" s="3" t="str">
        <f>"00670312"</f>
        <v>00670312</v>
      </c>
    </row>
    <row r="8731" spans="1:2" x14ac:dyDescent="0.25">
      <c r="A8731" s="4">
        <v>8726</v>
      </c>
      <c r="B8731" s="3" t="str">
        <f>"00670337"</f>
        <v>00670337</v>
      </c>
    </row>
    <row r="8732" spans="1:2" x14ac:dyDescent="0.25">
      <c r="A8732" s="4">
        <v>8727</v>
      </c>
      <c r="B8732" s="3" t="str">
        <f>"00670342"</f>
        <v>00670342</v>
      </c>
    </row>
    <row r="8733" spans="1:2" x14ac:dyDescent="0.25">
      <c r="A8733" s="4">
        <v>8728</v>
      </c>
      <c r="B8733" s="3" t="str">
        <f>"00670354"</f>
        <v>00670354</v>
      </c>
    </row>
    <row r="8734" spans="1:2" x14ac:dyDescent="0.25">
      <c r="A8734" s="4">
        <v>8729</v>
      </c>
      <c r="B8734" s="3" t="str">
        <f>"00670358"</f>
        <v>00670358</v>
      </c>
    </row>
    <row r="8735" spans="1:2" x14ac:dyDescent="0.25">
      <c r="A8735" s="4">
        <v>8730</v>
      </c>
      <c r="B8735" s="3" t="str">
        <f>"00670367"</f>
        <v>00670367</v>
      </c>
    </row>
    <row r="8736" spans="1:2" x14ac:dyDescent="0.25">
      <c r="A8736" s="4">
        <v>8731</v>
      </c>
      <c r="B8736" s="3" t="str">
        <f>"00670383"</f>
        <v>00670383</v>
      </c>
    </row>
    <row r="8737" spans="1:2" x14ac:dyDescent="0.25">
      <c r="A8737" s="4">
        <v>8732</v>
      </c>
      <c r="B8737" s="3" t="str">
        <f>"00670400"</f>
        <v>00670400</v>
      </c>
    </row>
    <row r="8738" spans="1:2" x14ac:dyDescent="0.25">
      <c r="A8738" s="4">
        <v>8733</v>
      </c>
      <c r="B8738" s="3" t="str">
        <f>"00670420"</f>
        <v>00670420</v>
      </c>
    </row>
    <row r="8739" spans="1:2" x14ac:dyDescent="0.25">
      <c r="A8739" s="4">
        <v>8734</v>
      </c>
      <c r="B8739" s="3" t="str">
        <f>"00670428"</f>
        <v>00670428</v>
      </c>
    </row>
    <row r="8740" spans="1:2" x14ac:dyDescent="0.25">
      <c r="A8740" s="4">
        <v>8735</v>
      </c>
      <c r="B8740" s="3" t="str">
        <f>"00670438"</f>
        <v>00670438</v>
      </c>
    </row>
    <row r="8741" spans="1:2" x14ac:dyDescent="0.25">
      <c r="A8741" s="4">
        <v>8736</v>
      </c>
      <c r="B8741" s="3" t="str">
        <f>"00670451"</f>
        <v>00670451</v>
      </c>
    </row>
    <row r="8742" spans="1:2" x14ac:dyDescent="0.25">
      <c r="A8742" s="4">
        <v>8737</v>
      </c>
      <c r="B8742" s="3" t="str">
        <f>"00670461"</f>
        <v>00670461</v>
      </c>
    </row>
    <row r="8743" spans="1:2" x14ac:dyDescent="0.25">
      <c r="A8743" s="4">
        <v>8738</v>
      </c>
      <c r="B8743" s="3" t="str">
        <f>"00670471"</f>
        <v>00670471</v>
      </c>
    </row>
    <row r="8744" spans="1:2" x14ac:dyDescent="0.25">
      <c r="A8744" s="4">
        <v>8739</v>
      </c>
      <c r="B8744" s="3" t="str">
        <f>"00670511"</f>
        <v>00670511</v>
      </c>
    </row>
    <row r="8745" spans="1:2" x14ac:dyDescent="0.25">
      <c r="A8745" s="4">
        <v>8740</v>
      </c>
      <c r="B8745" s="3" t="str">
        <f>"00670533"</f>
        <v>00670533</v>
      </c>
    </row>
    <row r="8746" spans="1:2" x14ac:dyDescent="0.25">
      <c r="A8746" s="4">
        <v>8741</v>
      </c>
      <c r="B8746" s="3" t="str">
        <f>"00670562"</f>
        <v>00670562</v>
      </c>
    </row>
    <row r="8747" spans="1:2" x14ac:dyDescent="0.25">
      <c r="A8747" s="4">
        <v>8742</v>
      </c>
      <c r="B8747" s="3" t="str">
        <f>"00670608"</f>
        <v>00670608</v>
      </c>
    </row>
    <row r="8748" spans="1:2" x14ac:dyDescent="0.25">
      <c r="A8748" s="4">
        <v>8743</v>
      </c>
      <c r="B8748" s="3" t="str">
        <f>"00670615"</f>
        <v>00670615</v>
      </c>
    </row>
    <row r="8749" spans="1:2" x14ac:dyDescent="0.25">
      <c r="A8749" s="4">
        <v>8744</v>
      </c>
      <c r="B8749" s="3" t="str">
        <f>"00670616"</f>
        <v>00670616</v>
      </c>
    </row>
    <row r="8750" spans="1:2" x14ac:dyDescent="0.25">
      <c r="A8750" s="4">
        <v>8745</v>
      </c>
      <c r="B8750" s="3" t="str">
        <f>"00670619"</f>
        <v>00670619</v>
      </c>
    </row>
    <row r="8751" spans="1:2" x14ac:dyDescent="0.25">
      <c r="A8751" s="4">
        <v>8746</v>
      </c>
      <c r="B8751" s="3" t="str">
        <f>"00670621"</f>
        <v>00670621</v>
      </c>
    </row>
    <row r="8752" spans="1:2" x14ac:dyDescent="0.25">
      <c r="A8752" s="4">
        <v>8747</v>
      </c>
      <c r="B8752" s="3" t="str">
        <f>"00670625"</f>
        <v>00670625</v>
      </c>
    </row>
    <row r="8753" spans="1:2" x14ac:dyDescent="0.25">
      <c r="A8753" s="4">
        <v>8748</v>
      </c>
      <c r="B8753" s="3" t="str">
        <f>"00670632"</f>
        <v>00670632</v>
      </c>
    </row>
    <row r="8754" spans="1:2" x14ac:dyDescent="0.25">
      <c r="A8754" s="4">
        <v>8749</v>
      </c>
      <c r="B8754" s="3" t="str">
        <f>"00670648"</f>
        <v>00670648</v>
      </c>
    </row>
    <row r="8755" spans="1:2" x14ac:dyDescent="0.25">
      <c r="A8755" s="4">
        <v>8750</v>
      </c>
      <c r="B8755" s="3" t="str">
        <f>"00670655"</f>
        <v>00670655</v>
      </c>
    </row>
    <row r="8756" spans="1:2" x14ac:dyDescent="0.25">
      <c r="A8756" s="4">
        <v>8751</v>
      </c>
      <c r="B8756" s="3" t="str">
        <f>"00670678"</f>
        <v>00670678</v>
      </c>
    </row>
    <row r="8757" spans="1:2" x14ac:dyDescent="0.25">
      <c r="A8757" s="4">
        <v>8752</v>
      </c>
      <c r="B8757" s="3" t="str">
        <f>"00670700"</f>
        <v>00670700</v>
      </c>
    </row>
    <row r="8758" spans="1:2" x14ac:dyDescent="0.25">
      <c r="A8758" s="4">
        <v>8753</v>
      </c>
      <c r="B8758" s="3" t="str">
        <f>"00670704"</f>
        <v>00670704</v>
      </c>
    </row>
    <row r="8759" spans="1:2" x14ac:dyDescent="0.25">
      <c r="A8759" s="4">
        <v>8754</v>
      </c>
      <c r="B8759" s="3" t="str">
        <f>"00670705"</f>
        <v>00670705</v>
      </c>
    </row>
    <row r="8760" spans="1:2" x14ac:dyDescent="0.25">
      <c r="A8760" s="4">
        <v>8755</v>
      </c>
      <c r="B8760" s="3" t="str">
        <f>"00670707"</f>
        <v>00670707</v>
      </c>
    </row>
    <row r="8761" spans="1:2" x14ac:dyDescent="0.25">
      <c r="A8761" s="4">
        <v>8756</v>
      </c>
      <c r="B8761" s="3" t="str">
        <f>"00670728"</f>
        <v>00670728</v>
      </c>
    </row>
    <row r="8762" spans="1:2" x14ac:dyDescent="0.25">
      <c r="A8762" s="4">
        <v>8757</v>
      </c>
      <c r="B8762" s="3" t="str">
        <f>"00670746"</f>
        <v>00670746</v>
      </c>
    </row>
    <row r="8763" spans="1:2" x14ac:dyDescent="0.25">
      <c r="A8763" s="4">
        <v>8758</v>
      </c>
      <c r="B8763" s="3" t="str">
        <f>"00670755"</f>
        <v>00670755</v>
      </c>
    </row>
    <row r="8764" spans="1:2" x14ac:dyDescent="0.25">
      <c r="A8764" s="4">
        <v>8759</v>
      </c>
      <c r="B8764" s="3" t="str">
        <f>"00670756"</f>
        <v>00670756</v>
      </c>
    </row>
    <row r="8765" spans="1:2" x14ac:dyDescent="0.25">
      <c r="A8765" s="4">
        <v>8760</v>
      </c>
      <c r="B8765" s="3" t="str">
        <f>"00670762"</f>
        <v>00670762</v>
      </c>
    </row>
    <row r="8766" spans="1:2" x14ac:dyDescent="0.25">
      <c r="A8766" s="4">
        <v>8761</v>
      </c>
      <c r="B8766" s="3" t="str">
        <f>"00670765"</f>
        <v>00670765</v>
      </c>
    </row>
    <row r="8767" spans="1:2" x14ac:dyDescent="0.25">
      <c r="A8767" s="4">
        <v>8762</v>
      </c>
      <c r="B8767" s="3" t="str">
        <f>"00670771"</f>
        <v>00670771</v>
      </c>
    </row>
    <row r="8768" spans="1:2" x14ac:dyDescent="0.25">
      <c r="A8768" s="4">
        <v>8763</v>
      </c>
      <c r="B8768" s="3" t="str">
        <f>"00670772"</f>
        <v>00670772</v>
      </c>
    </row>
    <row r="8769" spans="1:2" x14ac:dyDescent="0.25">
      <c r="A8769" s="4">
        <v>8764</v>
      </c>
      <c r="B8769" s="3" t="str">
        <f>"00670779"</f>
        <v>00670779</v>
      </c>
    </row>
    <row r="8770" spans="1:2" x14ac:dyDescent="0.25">
      <c r="A8770" s="4">
        <v>8765</v>
      </c>
      <c r="B8770" s="3" t="str">
        <f>"00670801"</f>
        <v>00670801</v>
      </c>
    </row>
    <row r="8771" spans="1:2" x14ac:dyDescent="0.25">
      <c r="A8771" s="4">
        <v>8766</v>
      </c>
      <c r="B8771" s="3" t="str">
        <f>"00670807"</f>
        <v>00670807</v>
      </c>
    </row>
    <row r="8772" spans="1:2" x14ac:dyDescent="0.25">
      <c r="A8772" s="4">
        <v>8767</v>
      </c>
      <c r="B8772" s="3" t="str">
        <f>"00670813"</f>
        <v>00670813</v>
      </c>
    </row>
    <row r="8773" spans="1:2" x14ac:dyDescent="0.25">
      <c r="A8773" s="4">
        <v>8768</v>
      </c>
      <c r="B8773" s="3" t="str">
        <f>"00670829"</f>
        <v>00670829</v>
      </c>
    </row>
    <row r="8774" spans="1:2" x14ac:dyDescent="0.25">
      <c r="A8774" s="4">
        <v>8769</v>
      </c>
      <c r="B8774" s="3" t="str">
        <f>"00670838"</f>
        <v>00670838</v>
      </c>
    </row>
    <row r="8775" spans="1:2" x14ac:dyDescent="0.25">
      <c r="A8775" s="4">
        <v>8770</v>
      </c>
      <c r="B8775" s="3" t="str">
        <f>"00670858"</f>
        <v>00670858</v>
      </c>
    </row>
    <row r="8776" spans="1:2" x14ac:dyDescent="0.25">
      <c r="A8776" s="4">
        <v>8771</v>
      </c>
      <c r="B8776" s="3" t="str">
        <f>"00670881"</f>
        <v>00670881</v>
      </c>
    </row>
    <row r="8777" spans="1:2" x14ac:dyDescent="0.25">
      <c r="A8777" s="4">
        <v>8772</v>
      </c>
      <c r="B8777" s="3" t="str">
        <f>"00670882"</f>
        <v>00670882</v>
      </c>
    </row>
    <row r="8778" spans="1:2" x14ac:dyDescent="0.25">
      <c r="A8778" s="4">
        <v>8773</v>
      </c>
      <c r="B8778" s="3" t="str">
        <f>"00670893"</f>
        <v>00670893</v>
      </c>
    </row>
    <row r="8779" spans="1:2" x14ac:dyDescent="0.25">
      <c r="A8779" s="4">
        <v>8774</v>
      </c>
      <c r="B8779" s="3" t="str">
        <f>"00670911"</f>
        <v>00670911</v>
      </c>
    </row>
    <row r="8780" spans="1:2" x14ac:dyDescent="0.25">
      <c r="A8780" s="4">
        <v>8775</v>
      </c>
      <c r="B8780" s="3" t="str">
        <f>"00670917"</f>
        <v>00670917</v>
      </c>
    </row>
    <row r="8781" spans="1:2" x14ac:dyDescent="0.25">
      <c r="A8781" s="4">
        <v>8776</v>
      </c>
      <c r="B8781" s="3" t="str">
        <f>"00670919"</f>
        <v>00670919</v>
      </c>
    </row>
    <row r="8782" spans="1:2" x14ac:dyDescent="0.25">
      <c r="A8782" s="4">
        <v>8777</v>
      </c>
      <c r="B8782" s="3" t="str">
        <f>"00670920"</f>
        <v>00670920</v>
      </c>
    </row>
    <row r="8783" spans="1:2" x14ac:dyDescent="0.25">
      <c r="A8783" s="4">
        <v>8778</v>
      </c>
      <c r="B8783" s="3" t="str">
        <f>"00670925"</f>
        <v>00670925</v>
      </c>
    </row>
    <row r="8784" spans="1:2" x14ac:dyDescent="0.25">
      <c r="A8784" s="4">
        <v>8779</v>
      </c>
      <c r="B8784" s="3" t="str">
        <f>"00670931"</f>
        <v>00670931</v>
      </c>
    </row>
    <row r="8785" spans="1:2" x14ac:dyDescent="0.25">
      <c r="A8785" s="4">
        <v>8780</v>
      </c>
      <c r="B8785" s="3" t="str">
        <f>"00670935"</f>
        <v>00670935</v>
      </c>
    </row>
    <row r="8786" spans="1:2" x14ac:dyDescent="0.25">
      <c r="A8786" s="4">
        <v>8781</v>
      </c>
      <c r="B8786" s="3" t="str">
        <f>"00670951"</f>
        <v>00670951</v>
      </c>
    </row>
    <row r="8787" spans="1:2" x14ac:dyDescent="0.25">
      <c r="A8787" s="4">
        <v>8782</v>
      </c>
      <c r="B8787" s="3" t="str">
        <f>"00670962"</f>
        <v>00670962</v>
      </c>
    </row>
    <row r="8788" spans="1:2" x14ac:dyDescent="0.25">
      <c r="A8788" s="4">
        <v>8783</v>
      </c>
      <c r="B8788" s="3" t="str">
        <f>"00670966"</f>
        <v>00670966</v>
      </c>
    </row>
    <row r="8789" spans="1:2" x14ac:dyDescent="0.25">
      <c r="A8789" s="4">
        <v>8784</v>
      </c>
      <c r="B8789" s="3" t="str">
        <f>"00670976"</f>
        <v>00670976</v>
      </c>
    </row>
    <row r="8790" spans="1:2" x14ac:dyDescent="0.25">
      <c r="A8790" s="4">
        <v>8785</v>
      </c>
      <c r="B8790" s="3" t="str">
        <f>"00671018"</f>
        <v>00671018</v>
      </c>
    </row>
    <row r="8791" spans="1:2" x14ac:dyDescent="0.25">
      <c r="A8791" s="4">
        <v>8786</v>
      </c>
      <c r="B8791" s="3" t="str">
        <f>"00671019"</f>
        <v>00671019</v>
      </c>
    </row>
    <row r="8792" spans="1:2" x14ac:dyDescent="0.25">
      <c r="A8792" s="4">
        <v>8787</v>
      </c>
      <c r="B8792" s="3" t="str">
        <f>"00671023"</f>
        <v>00671023</v>
      </c>
    </row>
    <row r="8793" spans="1:2" x14ac:dyDescent="0.25">
      <c r="A8793" s="4">
        <v>8788</v>
      </c>
      <c r="B8793" s="3" t="str">
        <f>"00671034"</f>
        <v>00671034</v>
      </c>
    </row>
    <row r="8794" spans="1:2" x14ac:dyDescent="0.25">
      <c r="A8794" s="4">
        <v>8789</v>
      </c>
      <c r="B8794" s="3" t="str">
        <f>"00671047"</f>
        <v>00671047</v>
      </c>
    </row>
    <row r="8795" spans="1:2" x14ac:dyDescent="0.25">
      <c r="A8795" s="4">
        <v>8790</v>
      </c>
      <c r="B8795" s="3" t="str">
        <f>"00671056"</f>
        <v>00671056</v>
      </c>
    </row>
    <row r="8796" spans="1:2" x14ac:dyDescent="0.25">
      <c r="A8796" s="4">
        <v>8791</v>
      </c>
      <c r="B8796" s="3" t="str">
        <f>"00671063"</f>
        <v>00671063</v>
      </c>
    </row>
    <row r="8797" spans="1:2" x14ac:dyDescent="0.25">
      <c r="A8797" s="4">
        <v>8792</v>
      </c>
      <c r="B8797" s="3" t="str">
        <f>"00671068"</f>
        <v>00671068</v>
      </c>
    </row>
    <row r="8798" spans="1:2" x14ac:dyDescent="0.25">
      <c r="A8798" s="4">
        <v>8793</v>
      </c>
      <c r="B8798" s="3" t="str">
        <f>"00671071"</f>
        <v>00671071</v>
      </c>
    </row>
    <row r="8799" spans="1:2" x14ac:dyDescent="0.25">
      <c r="A8799" s="4">
        <v>8794</v>
      </c>
      <c r="B8799" s="3" t="str">
        <f>"00671081"</f>
        <v>00671081</v>
      </c>
    </row>
    <row r="8800" spans="1:2" x14ac:dyDescent="0.25">
      <c r="A8800" s="4">
        <v>8795</v>
      </c>
      <c r="B8800" s="3" t="str">
        <f>"00671083"</f>
        <v>00671083</v>
      </c>
    </row>
    <row r="8801" spans="1:2" x14ac:dyDescent="0.25">
      <c r="A8801" s="4">
        <v>8796</v>
      </c>
      <c r="B8801" s="3" t="str">
        <f>"00671087"</f>
        <v>00671087</v>
      </c>
    </row>
    <row r="8802" spans="1:2" x14ac:dyDescent="0.25">
      <c r="A8802" s="4">
        <v>8797</v>
      </c>
      <c r="B8802" s="3" t="str">
        <f>"00671089"</f>
        <v>00671089</v>
      </c>
    </row>
    <row r="8803" spans="1:2" x14ac:dyDescent="0.25">
      <c r="A8803" s="4">
        <v>8798</v>
      </c>
      <c r="B8803" s="3" t="str">
        <f>"00671090"</f>
        <v>00671090</v>
      </c>
    </row>
    <row r="8804" spans="1:2" x14ac:dyDescent="0.25">
      <c r="A8804" s="4">
        <v>8799</v>
      </c>
      <c r="B8804" s="3" t="str">
        <f>"00671096"</f>
        <v>00671096</v>
      </c>
    </row>
    <row r="8805" spans="1:2" x14ac:dyDescent="0.25">
      <c r="A8805" s="4">
        <v>8800</v>
      </c>
      <c r="B8805" s="3" t="str">
        <f>"00671103"</f>
        <v>00671103</v>
      </c>
    </row>
    <row r="8806" spans="1:2" x14ac:dyDescent="0.25">
      <c r="A8806" s="4">
        <v>8801</v>
      </c>
      <c r="B8806" s="3" t="str">
        <f>"00671105"</f>
        <v>00671105</v>
      </c>
    </row>
    <row r="8807" spans="1:2" x14ac:dyDescent="0.25">
      <c r="A8807" s="4">
        <v>8802</v>
      </c>
      <c r="B8807" s="3" t="str">
        <f>"00671107"</f>
        <v>00671107</v>
      </c>
    </row>
    <row r="8808" spans="1:2" x14ac:dyDescent="0.25">
      <c r="A8808" s="4">
        <v>8803</v>
      </c>
      <c r="B8808" s="3" t="str">
        <f>"00671124"</f>
        <v>00671124</v>
      </c>
    </row>
    <row r="8809" spans="1:2" x14ac:dyDescent="0.25">
      <c r="A8809" s="4">
        <v>8804</v>
      </c>
      <c r="B8809" s="3" t="str">
        <f>"00671132"</f>
        <v>00671132</v>
      </c>
    </row>
    <row r="8810" spans="1:2" x14ac:dyDescent="0.25">
      <c r="A8810" s="4">
        <v>8805</v>
      </c>
      <c r="B8810" s="3" t="str">
        <f>"00671136"</f>
        <v>00671136</v>
      </c>
    </row>
    <row r="8811" spans="1:2" x14ac:dyDescent="0.25">
      <c r="A8811" s="4">
        <v>8806</v>
      </c>
      <c r="B8811" s="3" t="str">
        <f>"00671138"</f>
        <v>00671138</v>
      </c>
    </row>
    <row r="8812" spans="1:2" x14ac:dyDescent="0.25">
      <c r="A8812" s="4">
        <v>8807</v>
      </c>
      <c r="B8812" s="3" t="str">
        <f>"00671148"</f>
        <v>00671148</v>
      </c>
    </row>
    <row r="8813" spans="1:2" x14ac:dyDescent="0.25">
      <c r="A8813" s="4">
        <v>8808</v>
      </c>
      <c r="B8813" s="3" t="str">
        <f>"00671165"</f>
        <v>00671165</v>
      </c>
    </row>
    <row r="8814" spans="1:2" x14ac:dyDescent="0.25">
      <c r="A8814" s="4">
        <v>8809</v>
      </c>
      <c r="B8814" s="3" t="str">
        <f>"00671174"</f>
        <v>00671174</v>
      </c>
    </row>
    <row r="8815" spans="1:2" x14ac:dyDescent="0.25">
      <c r="A8815" s="4">
        <v>8810</v>
      </c>
      <c r="B8815" s="3" t="str">
        <f>"00671175"</f>
        <v>00671175</v>
      </c>
    </row>
    <row r="8816" spans="1:2" x14ac:dyDescent="0.25">
      <c r="A8816" s="4">
        <v>8811</v>
      </c>
      <c r="B8816" s="3" t="str">
        <f>"00671197"</f>
        <v>00671197</v>
      </c>
    </row>
    <row r="8817" spans="1:2" x14ac:dyDescent="0.25">
      <c r="A8817" s="4">
        <v>8812</v>
      </c>
      <c r="B8817" s="3" t="str">
        <f>"00671199"</f>
        <v>00671199</v>
      </c>
    </row>
    <row r="8818" spans="1:2" x14ac:dyDescent="0.25">
      <c r="A8818" s="4">
        <v>8813</v>
      </c>
      <c r="B8818" s="3" t="str">
        <f>"00671200"</f>
        <v>00671200</v>
      </c>
    </row>
    <row r="8819" spans="1:2" x14ac:dyDescent="0.25">
      <c r="A8819" s="4">
        <v>8814</v>
      </c>
      <c r="B8819" s="3" t="str">
        <f>"00671213"</f>
        <v>00671213</v>
      </c>
    </row>
    <row r="8820" spans="1:2" x14ac:dyDescent="0.25">
      <c r="A8820" s="4">
        <v>8815</v>
      </c>
      <c r="B8820" s="3" t="str">
        <f>"00671240"</f>
        <v>00671240</v>
      </c>
    </row>
    <row r="8821" spans="1:2" x14ac:dyDescent="0.25">
      <c r="A8821" s="4">
        <v>8816</v>
      </c>
      <c r="B8821" s="3" t="str">
        <f>"00671243"</f>
        <v>00671243</v>
      </c>
    </row>
    <row r="8822" spans="1:2" x14ac:dyDescent="0.25">
      <c r="A8822" s="4">
        <v>8817</v>
      </c>
      <c r="B8822" s="3" t="str">
        <f>"00671247"</f>
        <v>00671247</v>
      </c>
    </row>
    <row r="8823" spans="1:2" x14ac:dyDescent="0.25">
      <c r="A8823" s="4">
        <v>8818</v>
      </c>
      <c r="B8823" s="3" t="str">
        <f>"00671252"</f>
        <v>00671252</v>
      </c>
    </row>
    <row r="8824" spans="1:2" x14ac:dyDescent="0.25">
      <c r="A8824" s="4">
        <v>8819</v>
      </c>
      <c r="B8824" s="3" t="str">
        <f>"00671261"</f>
        <v>00671261</v>
      </c>
    </row>
    <row r="8825" spans="1:2" x14ac:dyDescent="0.25">
      <c r="A8825" s="4">
        <v>8820</v>
      </c>
      <c r="B8825" s="3" t="str">
        <f>"00671267"</f>
        <v>00671267</v>
      </c>
    </row>
    <row r="8826" spans="1:2" x14ac:dyDescent="0.25">
      <c r="A8826" s="4">
        <v>8821</v>
      </c>
      <c r="B8826" s="3" t="str">
        <f>"00671269"</f>
        <v>00671269</v>
      </c>
    </row>
    <row r="8827" spans="1:2" x14ac:dyDescent="0.25">
      <c r="A8827" s="4">
        <v>8822</v>
      </c>
      <c r="B8827" s="3" t="str">
        <f>"00671281"</f>
        <v>00671281</v>
      </c>
    </row>
    <row r="8828" spans="1:2" x14ac:dyDescent="0.25">
      <c r="A8828" s="4">
        <v>8823</v>
      </c>
      <c r="B8828" s="3" t="str">
        <f>"00671285"</f>
        <v>00671285</v>
      </c>
    </row>
    <row r="8829" spans="1:2" x14ac:dyDescent="0.25">
      <c r="A8829" s="4">
        <v>8824</v>
      </c>
      <c r="B8829" s="3" t="str">
        <f>"00671307"</f>
        <v>00671307</v>
      </c>
    </row>
    <row r="8830" spans="1:2" x14ac:dyDescent="0.25">
      <c r="A8830" s="4">
        <v>8825</v>
      </c>
      <c r="B8830" s="3" t="str">
        <f>"00671313"</f>
        <v>00671313</v>
      </c>
    </row>
    <row r="8831" spans="1:2" x14ac:dyDescent="0.25">
      <c r="A8831" s="4">
        <v>8826</v>
      </c>
      <c r="B8831" s="3" t="str">
        <f>"00671338"</f>
        <v>00671338</v>
      </c>
    </row>
    <row r="8832" spans="1:2" x14ac:dyDescent="0.25">
      <c r="A8832" s="4">
        <v>8827</v>
      </c>
      <c r="B8832" s="3" t="str">
        <f>"00671339"</f>
        <v>00671339</v>
      </c>
    </row>
    <row r="8833" spans="1:2" x14ac:dyDescent="0.25">
      <c r="A8833" s="4">
        <v>8828</v>
      </c>
      <c r="B8833" s="3" t="str">
        <f>"00671344"</f>
        <v>00671344</v>
      </c>
    </row>
    <row r="8834" spans="1:2" x14ac:dyDescent="0.25">
      <c r="A8834" s="4">
        <v>8829</v>
      </c>
      <c r="B8834" s="3" t="str">
        <f>"00671354"</f>
        <v>00671354</v>
      </c>
    </row>
    <row r="8835" spans="1:2" x14ac:dyDescent="0.25">
      <c r="A8835" s="4">
        <v>8830</v>
      </c>
      <c r="B8835" s="3" t="str">
        <f>"00671365"</f>
        <v>00671365</v>
      </c>
    </row>
    <row r="8836" spans="1:2" x14ac:dyDescent="0.25">
      <c r="A8836" s="4">
        <v>8831</v>
      </c>
      <c r="B8836" s="3" t="str">
        <f>"00671371"</f>
        <v>00671371</v>
      </c>
    </row>
    <row r="8837" spans="1:2" x14ac:dyDescent="0.25">
      <c r="A8837" s="4">
        <v>8832</v>
      </c>
      <c r="B8837" s="3" t="str">
        <f>"00671381"</f>
        <v>00671381</v>
      </c>
    </row>
    <row r="8838" spans="1:2" x14ac:dyDescent="0.25">
      <c r="A8838" s="4">
        <v>8833</v>
      </c>
      <c r="B8838" s="3" t="str">
        <f>"00671389"</f>
        <v>00671389</v>
      </c>
    </row>
    <row r="8839" spans="1:2" x14ac:dyDescent="0.25">
      <c r="A8839" s="4">
        <v>8834</v>
      </c>
      <c r="B8839" s="3" t="str">
        <f>"00671398"</f>
        <v>00671398</v>
      </c>
    </row>
    <row r="8840" spans="1:2" x14ac:dyDescent="0.25">
      <c r="A8840" s="4">
        <v>8835</v>
      </c>
      <c r="B8840" s="3" t="str">
        <f>"00671404"</f>
        <v>00671404</v>
      </c>
    </row>
    <row r="8841" spans="1:2" x14ac:dyDescent="0.25">
      <c r="A8841" s="4">
        <v>8836</v>
      </c>
      <c r="B8841" s="3" t="str">
        <f>"00671432"</f>
        <v>00671432</v>
      </c>
    </row>
    <row r="8842" spans="1:2" x14ac:dyDescent="0.25">
      <c r="A8842" s="4">
        <v>8837</v>
      </c>
      <c r="B8842" s="3" t="str">
        <f>"00671441"</f>
        <v>00671441</v>
      </c>
    </row>
    <row r="8843" spans="1:2" x14ac:dyDescent="0.25">
      <c r="A8843" s="4">
        <v>8838</v>
      </c>
      <c r="B8843" s="3" t="str">
        <f>"00671447"</f>
        <v>00671447</v>
      </c>
    </row>
    <row r="8844" spans="1:2" x14ac:dyDescent="0.25">
      <c r="A8844" s="4">
        <v>8839</v>
      </c>
      <c r="B8844" s="3" t="str">
        <f>"00671467"</f>
        <v>00671467</v>
      </c>
    </row>
    <row r="8845" spans="1:2" x14ac:dyDescent="0.25">
      <c r="A8845" s="4">
        <v>8840</v>
      </c>
      <c r="B8845" s="3" t="str">
        <f>"00671480"</f>
        <v>00671480</v>
      </c>
    </row>
    <row r="8846" spans="1:2" x14ac:dyDescent="0.25">
      <c r="A8846" s="4">
        <v>8841</v>
      </c>
      <c r="B8846" s="3" t="str">
        <f>"00671484"</f>
        <v>00671484</v>
      </c>
    </row>
    <row r="8847" spans="1:2" x14ac:dyDescent="0.25">
      <c r="A8847" s="4">
        <v>8842</v>
      </c>
      <c r="B8847" s="3" t="str">
        <f>"00671488"</f>
        <v>00671488</v>
      </c>
    </row>
    <row r="8848" spans="1:2" x14ac:dyDescent="0.25">
      <c r="A8848" s="4">
        <v>8843</v>
      </c>
      <c r="B8848" s="3" t="str">
        <f>"00671491"</f>
        <v>00671491</v>
      </c>
    </row>
    <row r="8849" spans="1:2" x14ac:dyDescent="0.25">
      <c r="A8849" s="4">
        <v>8844</v>
      </c>
      <c r="B8849" s="3" t="str">
        <f>"00671494"</f>
        <v>00671494</v>
      </c>
    </row>
    <row r="8850" spans="1:2" x14ac:dyDescent="0.25">
      <c r="A8850" s="4">
        <v>8845</v>
      </c>
      <c r="B8850" s="3" t="str">
        <f>"00671506"</f>
        <v>00671506</v>
      </c>
    </row>
    <row r="8851" spans="1:2" x14ac:dyDescent="0.25">
      <c r="A8851" s="4">
        <v>8846</v>
      </c>
      <c r="B8851" s="3" t="str">
        <f>"00671507"</f>
        <v>00671507</v>
      </c>
    </row>
    <row r="8852" spans="1:2" x14ac:dyDescent="0.25">
      <c r="A8852" s="4">
        <v>8847</v>
      </c>
      <c r="B8852" s="3" t="str">
        <f>"00671517"</f>
        <v>00671517</v>
      </c>
    </row>
    <row r="8853" spans="1:2" x14ac:dyDescent="0.25">
      <c r="A8853" s="4">
        <v>8848</v>
      </c>
      <c r="B8853" s="3" t="str">
        <f>"00671540"</f>
        <v>00671540</v>
      </c>
    </row>
    <row r="8854" spans="1:2" x14ac:dyDescent="0.25">
      <c r="A8854" s="4">
        <v>8849</v>
      </c>
      <c r="B8854" s="3" t="str">
        <f>"00671548"</f>
        <v>00671548</v>
      </c>
    </row>
    <row r="8855" spans="1:2" x14ac:dyDescent="0.25">
      <c r="A8855" s="4">
        <v>8850</v>
      </c>
      <c r="B8855" s="3" t="str">
        <f>"00671551"</f>
        <v>00671551</v>
      </c>
    </row>
    <row r="8856" spans="1:2" x14ac:dyDescent="0.25">
      <c r="A8856" s="4">
        <v>8851</v>
      </c>
      <c r="B8856" s="3" t="str">
        <f>"00671556"</f>
        <v>00671556</v>
      </c>
    </row>
    <row r="8857" spans="1:2" x14ac:dyDescent="0.25">
      <c r="A8857" s="4">
        <v>8852</v>
      </c>
      <c r="B8857" s="3" t="str">
        <f>"00671569"</f>
        <v>00671569</v>
      </c>
    </row>
    <row r="8858" spans="1:2" x14ac:dyDescent="0.25">
      <c r="A8858" s="4">
        <v>8853</v>
      </c>
      <c r="B8858" s="3" t="str">
        <f>"00671570"</f>
        <v>00671570</v>
      </c>
    </row>
    <row r="8859" spans="1:2" x14ac:dyDescent="0.25">
      <c r="A8859" s="4">
        <v>8854</v>
      </c>
      <c r="B8859" s="3" t="str">
        <f>"00671589"</f>
        <v>00671589</v>
      </c>
    </row>
    <row r="8860" spans="1:2" x14ac:dyDescent="0.25">
      <c r="A8860" s="4">
        <v>8855</v>
      </c>
      <c r="B8860" s="3" t="str">
        <f>"00671600"</f>
        <v>00671600</v>
      </c>
    </row>
    <row r="8861" spans="1:2" x14ac:dyDescent="0.25">
      <c r="A8861" s="4">
        <v>8856</v>
      </c>
      <c r="B8861" s="3" t="str">
        <f>"00671609"</f>
        <v>00671609</v>
      </c>
    </row>
    <row r="8862" spans="1:2" x14ac:dyDescent="0.25">
      <c r="A8862" s="4">
        <v>8857</v>
      </c>
      <c r="B8862" s="3" t="str">
        <f>"00671640"</f>
        <v>00671640</v>
      </c>
    </row>
    <row r="8863" spans="1:2" x14ac:dyDescent="0.25">
      <c r="A8863" s="4">
        <v>8858</v>
      </c>
      <c r="B8863" s="3" t="str">
        <f>"00671663"</f>
        <v>00671663</v>
      </c>
    </row>
    <row r="8864" spans="1:2" x14ac:dyDescent="0.25">
      <c r="A8864" s="4">
        <v>8859</v>
      </c>
      <c r="B8864" s="3" t="str">
        <f>"00671664"</f>
        <v>00671664</v>
      </c>
    </row>
    <row r="8865" spans="1:2" x14ac:dyDescent="0.25">
      <c r="A8865" s="4">
        <v>8860</v>
      </c>
      <c r="B8865" s="3" t="str">
        <f>"00671702"</f>
        <v>00671702</v>
      </c>
    </row>
    <row r="8866" spans="1:2" x14ac:dyDescent="0.25">
      <c r="A8866" s="4">
        <v>8861</v>
      </c>
      <c r="B8866" s="3" t="str">
        <f>"00671723"</f>
        <v>00671723</v>
      </c>
    </row>
    <row r="8867" spans="1:2" x14ac:dyDescent="0.25">
      <c r="A8867" s="4">
        <v>8862</v>
      </c>
      <c r="B8867" s="3" t="str">
        <f>"00671743"</f>
        <v>00671743</v>
      </c>
    </row>
    <row r="8868" spans="1:2" x14ac:dyDescent="0.25">
      <c r="A8868" s="4">
        <v>8863</v>
      </c>
      <c r="B8868" s="3" t="str">
        <f>"00671771"</f>
        <v>00671771</v>
      </c>
    </row>
    <row r="8869" spans="1:2" x14ac:dyDescent="0.25">
      <c r="A8869" s="4">
        <v>8864</v>
      </c>
      <c r="B8869" s="3" t="str">
        <f>"00671779"</f>
        <v>00671779</v>
      </c>
    </row>
    <row r="8870" spans="1:2" x14ac:dyDescent="0.25">
      <c r="A8870" s="4">
        <v>8865</v>
      </c>
      <c r="B8870" s="3" t="str">
        <f>"00671792"</f>
        <v>00671792</v>
      </c>
    </row>
    <row r="8871" spans="1:2" x14ac:dyDescent="0.25">
      <c r="A8871" s="4">
        <v>8866</v>
      </c>
      <c r="B8871" s="3" t="str">
        <f>"00671799"</f>
        <v>00671799</v>
      </c>
    </row>
    <row r="8872" spans="1:2" x14ac:dyDescent="0.25">
      <c r="A8872" s="4">
        <v>8867</v>
      </c>
      <c r="B8872" s="3" t="str">
        <f>"00671821"</f>
        <v>00671821</v>
      </c>
    </row>
    <row r="8873" spans="1:2" x14ac:dyDescent="0.25">
      <c r="A8873" s="4">
        <v>8868</v>
      </c>
      <c r="B8873" s="3" t="str">
        <f>"00671836"</f>
        <v>00671836</v>
      </c>
    </row>
    <row r="8874" spans="1:2" x14ac:dyDescent="0.25">
      <c r="A8874" s="4">
        <v>8869</v>
      </c>
      <c r="B8874" s="3" t="str">
        <f>"00671837"</f>
        <v>00671837</v>
      </c>
    </row>
    <row r="8875" spans="1:2" x14ac:dyDescent="0.25">
      <c r="A8875" s="4">
        <v>8870</v>
      </c>
      <c r="B8875" s="3" t="str">
        <f>"00671841"</f>
        <v>00671841</v>
      </c>
    </row>
    <row r="8876" spans="1:2" x14ac:dyDescent="0.25">
      <c r="A8876" s="4">
        <v>8871</v>
      </c>
      <c r="B8876" s="3" t="str">
        <f>"00671885"</f>
        <v>00671885</v>
      </c>
    </row>
    <row r="8877" spans="1:2" x14ac:dyDescent="0.25">
      <c r="A8877" s="4">
        <v>8872</v>
      </c>
      <c r="B8877" s="3" t="str">
        <f>"00671911"</f>
        <v>00671911</v>
      </c>
    </row>
    <row r="8878" spans="1:2" x14ac:dyDescent="0.25">
      <c r="A8878" s="4">
        <v>8873</v>
      </c>
      <c r="B8878" s="3" t="str">
        <f>"00671929"</f>
        <v>00671929</v>
      </c>
    </row>
    <row r="8879" spans="1:2" x14ac:dyDescent="0.25">
      <c r="A8879" s="4">
        <v>8874</v>
      </c>
      <c r="B8879" s="3" t="str">
        <f>"00671930"</f>
        <v>00671930</v>
      </c>
    </row>
    <row r="8880" spans="1:2" x14ac:dyDescent="0.25">
      <c r="A8880" s="4">
        <v>8875</v>
      </c>
      <c r="B8880" s="3" t="str">
        <f>"00671934"</f>
        <v>00671934</v>
      </c>
    </row>
    <row r="8881" spans="1:2" x14ac:dyDescent="0.25">
      <c r="A8881" s="4">
        <v>8876</v>
      </c>
      <c r="B8881" s="3" t="str">
        <f>"00671955"</f>
        <v>00671955</v>
      </c>
    </row>
    <row r="8882" spans="1:2" x14ac:dyDescent="0.25">
      <c r="A8882" s="4">
        <v>8877</v>
      </c>
      <c r="B8882" s="3" t="str">
        <f>"00671956"</f>
        <v>00671956</v>
      </c>
    </row>
    <row r="8883" spans="1:2" x14ac:dyDescent="0.25">
      <c r="A8883" s="4">
        <v>8878</v>
      </c>
      <c r="B8883" s="3" t="str">
        <f>"00671960"</f>
        <v>00671960</v>
      </c>
    </row>
    <row r="8884" spans="1:2" x14ac:dyDescent="0.25">
      <c r="A8884" s="4">
        <v>8879</v>
      </c>
      <c r="B8884" s="3" t="str">
        <f>"00671970"</f>
        <v>00671970</v>
      </c>
    </row>
    <row r="8885" spans="1:2" x14ac:dyDescent="0.25">
      <c r="A8885" s="4">
        <v>8880</v>
      </c>
      <c r="B8885" s="3" t="str">
        <f>"00671990"</f>
        <v>00671990</v>
      </c>
    </row>
    <row r="8886" spans="1:2" x14ac:dyDescent="0.25">
      <c r="A8886" s="4">
        <v>8881</v>
      </c>
      <c r="B8886" s="3" t="str">
        <f>"00671992"</f>
        <v>00671992</v>
      </c>
    </row>
    <row r="8887" spans="1:2" x14ac:dyDescent="0.25">
      <c r="A8887" s="4">
        <v>8882</v>
      </c>
      <c r="B8887" s="3" t="str">
        <f>"00671996"</f>
        <v>00671996</v>
      </c>
    </row>
    <row r="8888" spans="1:2" x14ac:dyDescent="0.25">
      <c r="A8888" s="4">
        <v>8883</v>
      </c>
      <c r="B8888" s="3" t="str">
        <f>"00672001"</f>
        <v>00672001</v>
      </c>
    </row>
    <row r="8889" spans="1:2" x14ac:dyDescent="0.25">
      <c r="A8889" s="4">
        <v>8884</v>
      </c>
      <c r="B8889" s="3" t="str">
        <f>"00672010"</f>
        <v>00672010</v>
      </c>
    </row>
    <row r="8890" spans="1:2" x14ac:dyDescent="0.25">
      <c r="A8890" s="4">
        <v>8885</v>
      </c>
      <c r="B8890" s="3" t="str">
        <f>"00672030"</f>
        <v>00672030</v>
      </c>
    </row>
    <row r="8891" spans="1:2" x14ac:dyDescent="0.25">
      <c r="A8891" s="4">
        <v>8886</v>
      </c>
      <c r="B8891" s="3" t="str">
        <f>"00672034"</f>
        <v>00672034</v>
      </c>
    </row>
    <row r="8892" spans="1:2" x14ac:dyDescent="0.25">
      <c r="A8892" s="4">
        <v>8887</v>
      </c>
      <c r="B8892" s="3" t="str">
        <f>"00672042"</f>
        <v>00672042</v>
      </c>
    </row>
    <row r="8893" spans="1:2" x14ac:dyDescent="0.25">
      <c r="A8893" s="4">
        <v>8888</v>
      </c>
      <c r="B8893" s="3" t="str">
        <f>"00672044"</f>
        <v>00672044</v>
      </c>
    </row>
    <row r="8894" spans="1:2" x14ac:dyDescent="0.25">
      <c r="A8894" s="4">
        <v>8889</v>
      </c>
      <c r="B8894" s="3" t="str">
        <f>"00672045"</f>
        <v>00672045</v>
      </c>
    </row>
    <row r="8895" spans="1:2" x14ac:dyDescent="0.25">
      <c r="A8895" s="4">
        <v>8890</v>
      </c>
      <c r="B8895" s="3" t="str">
        <f>"00672052"</f>
        <v>00672052</v>
      </c>
    </row>
    <row r="8896" spans="1:2" x14ac:dyDescent="0.25">
      <c r="A8896" s="4">
        <v>8891</v>
      </c>
      <c r="B8896" s="3" t="str">
        <f>"00672064"</f>
        <v>00672064</v>
      </c>
    </row>
    <row r="8897" spans="1:2" x14ac:dyDescent="0.25">
      <c r="A8897" s="4">
        <v>8892</v>
      </c>
      <c r="B8897" s="3" t="str">
        <f>"00672067"</f>
        <v>00672067</v>
      </c>
    </row>
    <row r="8898" spans="1:2" x14ac:dyDescent="0.25">
      <c r="A8898" s="4">
        <v>8893</v>
      </c>
      <c r="B8898" s="3" t="str">
        <f>"00672075"</f>
        <v>00672075</v>
      </c>
    </row>
    <row r="8899" spans="1:2" x14ac:dyDescent="0.25">
      <c r="A8899" s="4">
        <v>8894</v>
      </c>
      <c r="B8899" s="3" t="str">
        <f>"00672080"</f>
        <v>00672080</v>
      </c>
    </row>
    <row r="8900" spans="1:2" x14ac:dyDescent="0.25">
      <c r="A8900" s="4">
        <v>8895</v>
      </c>
      <c r="B8900" s="3" t="str">
        <f>"00672085"</f>
        <v>00672085</v>
      </c>
    </row>
    <row r="8901" spans="1:2" x14ac:dyDescent="0.25">
      <c r="A8901" s="4">
        <v>8896</v>
      </c>
      <c r="B8901" s="3" t="str">
        <f>"00672100"</f>
        <v>00672100</v>
      </c>
    </row>
    <row r="8902" spans="1:2" x14ac:dyDescent="0.25">
      <c r="A8902" s="4">
        <v>8897</v>
      </c>
      <c r="B8902" s="3" t="str">
        <f>"00672108"</f>
        <v>00672108</v>
      </c>
    </row>
    <row r="8903" spans="1:2" x14ac:dyDescent="0.25">
      <c r="A8903" s="4">
        <v>8898</v>
      </c>
      <c r="B8903" s="3" t="str">
        <f>"00672109"</f>
        <v>00672109</v>
      </c>
    </row>
    <row r="8904" spans="1:2" x14ac:dyDescent="0.25">
      <c r="A8904" s="4">
        <v>8899</v>
      </c>
      <c r="B8904" s="3" t="str">
        <f>"00672118"</f>
        <v>00672118</v>
      </c>
    </row>
    <row r="8905" spans="1:2" x14ac:dyDescent="0.25">
      <c r="A8905" s="4">
        <v>8900</v>
      </c>
      <c r="B8905" s="3" t="str">
        <f>"00672126"</f>
        <v>00672126</v>
      </c>
    </row>
    <row r="8906" spans="1:2" x14ac:dyDescent="0.25">
      <c r="A8906" s="4">
        <v>8901</v>
      </c>
      <c r="B8906" s="3" t="str">
        <f>"00672158"</f>
        <v>00672158</v>
      </c>
    </row>
    <row r="8907" spans="1:2" x14ac:dyDescent="0.25">
      <c r="A8907" s="4">
        <v>8902</v>
      </c>
      <c r="B8907" s="3" t="str">
        <f>"00672162"</f>
        <v>00672162</v>
      </c>
    </row>
    <row r="8908" spans="1:2" x14ac:dyDescent="0.25">
      <c r="A8908" s="4">
        <v>8903</v>
      </c>
      <c r="B8908" s="3" t="str">
        <f>"00672172"</f>
        <v>00672172</v>
      </c>
    </row>
    <row r="8909" spans="1:2" x14ac:dyDescent="0.25">
      <c r="A8909" s="4">
        <v>8904</v>
      </c>
      <c r="B8909" s="3" t="str">
        <f>"00672173"</f>
        <v>00672173</v>
      </c>
    </row>
    <row r="8910" spans="1:2" x14ac:dyDescent="0.25">
      <c r="A8910" s="4">
        <v>8905</v>
      </c>
      <c r="B8910" s="3" t="str">
        <f>"00672182"</f>
        <v>00672182</v>
      </c>
    </row>
    <row r="8911" spans="1:2" x14ac:dyDescent="0.25">
      <c r="A8911" s="4">
        <v>8906</v>
      </c>
      <c r="B8911" s="3" t="str">
        <f>"00672184"</f>
        <v>00672184</v>
      </c>
    </row>
    <row r="8912" spans="1:2" x14ac:dyDescent="0.25">
      <c r="A8912" s="4">
        <v>8907</v>
      </c>
      <c r="B8912" s="3" t="str">
        <f>"00672190"</f>
        <v>00672190</v>
      </c>
    </row>
    <row r="8913" spans="1:2" x14ac:dyDescent="0.25">
      <c r="A8913" s="4">
        <v>8908</v>
      </c>
      <c r="B8913" s="3" t="str">
        <f>"00672191"</f>
        <v>00672191</v>
      </c>
    </row>
    <row r="8914" spans="1:2" x14ac:dyDescent="0.25">
      <c r="A8914" s="4">
        <v>8909</v>
      </c>
      <c r="B8914" s="3" t="str">
        <f>"00672195"</f>
        <v>00672195</v>
      </c>
    </row>
    <row r="8915" spans="1:2" x14ac:dyDescent="0.25">
      <c r="A8915" s="4">
        <v>8910</v>
      </c>
      <c r="B8915" s="3" t="str">
        <f>"00672215"</f>
        <v>00672215</v>
      </c>
    </row>
    <row r="8916" spans="1:2" x14ac:dyDescent="0.25">
      <c r="A8916" s="4">
        <v>8911</v>
      </c>
      <c r="B8916" s="3" t="str">
        <f>"00672216"</f>
        <v>00672216</v>
      </c>
    </row>
    <row r="8917" spans="1:2" x14ac:dyDescent="0.25">
      <c r="A8917" s="4">
        <v>8912</v>
      </c>
      <c r="B8917" s="3" t="str">
        <f>"00672221"</f>
        <v>00672221</v>
      </c>
    </row>
    <row r="8918" spans="1:2" x14ac:dyDescent="0.25">
      <c r="A8918" s="4">
        <v>8913</v>
      </c>
      <c r="B8918" s="3" t="str">
        <f>"00672231"</f>
        <v>00672231</v>
      </c>
    </row>
    <row r="8919" spans="1:2" x14ac:dyDescent="0.25">
      <c r="A8919" s="4">
        <v>8914</v>
      </c>
      <c r="B8919" s="3" t="str">
        <f>"00672233"</f>
        <v>00672233</v>
      </c>
    </row>
    <row r="8920" spans="1:2" x14ac:dyDescent="0.25">
      <c r="A8920" s="4">
        <v>8915</v>
      </c>
      <c r="B8920" s="3" t="str">
        <f>"00672236"</f>
        <v>00672236</v>
      </c>
    </row>
    <row r="8921" spans="1:2" x14ac:dyDescent="0.25">
      <c r="A8921" s="4">
        <v>8916</v>
      </c>
      <c r="B8921" s="3" t="str">
        <f>"00672258"</f>
        <v>00672258</v>
      </c>
    </row>
    <row r="8922" spans="1:2" x14ac:dyDescent="0.25">
      <c r="A8922" s="4">
        <v>8917</v>
      </c>
      <c r="B8922" s="3" t="str">
        <f>"00672265"</f>
        <v>00672265</v>
      </c>
    </row>
    <row r="8923" spans="1:2" x14ac:dyDescent="0.25">
      <c r="A8923" s="4">
        <v>8918</v>
      </c>
      <c r="B8923" s="3" t="str">
        <f>"00672282"</f>
        <v>00672282</v>
      </c>
    </row>
    <row r="8924" spans="1:2" x14ac:dyDescent="0.25">
      <c r="A8924" s="4">
        <v>8919</v>
      </c>
      <c r="B8924" s="3" t="str">
        <f>"00672285"</f>
        <v>00672285</v>
      </c>
    </row>
    <row r="8925" spans="1:2" x14ac:dyDescent="0.25">
      <c r="A8925" s="4">
        <v>8920</v>
      </c>
      <c r="B8925" s="3" t="str">
        <f>"00672288"</f>
        <v>00672288</v>
      </c>
    </row>
    <row r="8926" spans="1:2" x14ac:dyDescent="0.25">
      <c r="A8926" s="4">
        <v>8921</v>
      </c>
      <c r="B8926" s="3" t="str">
        <f>"00672293"</f>
        <v>00672293</v>
      </c>
    </row>
    <row r="8927" spans="1:2" x14ac:dyDescent="0.25">
      <c r="A8927" s="4">
        <v>8922</v>
      </c>
      <c r="B8927" s="3" t="str">
        <f>"00672297"</f>
        <v>00672297</v>
      </c>
    </row>
    <row r="8928" spans="1:2" x14ac:dyDescent="0.25">
      <c r="A8928" s="4">
        <v>8923</v>
      </c>
      <c r="B8928" s="3" t="str">
        <f>"00672307"</f>
        <v>00672307</v>
      </c>
    </row>
    <row r="8929" spans="1:2" x14ac:dyDescent="0.25">
      <c r="A8929" s="4">
        <v>8924</v>
      </c>
      <c r="B8929" s="3" t="str">
        <f>"00672313"</f>
        <v>00672313</v>
      </c>
    </row>
    <row r="8930" spans="1:2" x14ac:dyDescent="0.25">
      <c r="A8930" s="4">
        <v>8925</v>
      </c>
      <c r="B8930" s="3" t="str">
        <f>"00672332"</f>
        <v>00672332</v>
      </c>
    </row>
    <row r="8931" spans="1:2" x14ac:dyDescent="0.25">
      <c r="A8931" s="4">
        <v>8926</v>
      </c>
      <c r="B8931" s="3" t="str">
        <f>"00672341"</f>
        <v>00672341</v>
      </c>
    </row>
    <row r="8932" spans="1:2" x14ac:dyDescent="0.25">
      <c r="A8932" s="4">
        <v>8927</v>
      </c>
      <c r="B8932" s="3" t="str">
        <f>"00672347"</f>
        <v>00672347</v>
      </c>
    </row>
    <row r="8933" spans="1:2" x14ac:dyDescent="0.25">
      <c r="A8933" s="4">
        <v>8928</v>
      </c>
      <c r="B8933" s="3" t="str">
        <f>"00672363"</f>
        <v>00672363</v>
      </c>
    </row>
    <row r="8934" spans="1:2" x14ac:dyDescent="0.25">
      <c r="A8934" s="4">
        <v>8929</v>
      </c>
      <c r="B8934" s="3" t="str">
        <f>"00672369"</f>
        <v>00672369</v>
      </c>
    </row>
    <row r="8935" spans="1:2" x14ac:dyDescent="0.25">
      <c r="A8935" s="4">
        <v>8930</v>
      </c>
      <c r="B8935" s="3" t="str">
        <f>"00672387"</f>
        <v>00672387</v>
      </c>
    </row>
    <row r="8936" spans="1:2" x14ac:dyDescent="0.25">
      <c r="A8936" s="4">
        <v>8931</v>
      </c>
      <c r="B8936" s="3" t="str">
        <f>"00672404"</f>
        <v>00672404</v>
      </c>
    </row>
    <row r="8937" spans="1:2" x14ac:dyDescent="0.25">
      <c r="A8937" s="4">
        <v>8932</v>
      </c>
      <c r="B8937" s="3" t="str">
        <f>"00672420"</f>
        <v>00672420</v>
      </c>
    </row>
    <row r="8938" spans="1:2" x14ac:dyDescent="0.25">
      <c r="A8938" s="4">
        <v>8933</v>
      </c>
      <c r="B8938" s="3" t="str">
        <f>"00672433"</f>
        <v>00672433</v>
      </c>
    </row>
    <row r="8939" spans="1:2" x14ac:dyDescent="0.25">
      <c r="A8939" s="4">
        <v>8934</v>
      </c>
      <c r="B8939" s="3" t="str">
        <f>"00672437"</f>
        <v>00672437</v>
      </c>
    </row>
    <row r="8940" spans="1:2" x14ac:dyDescent="0.25">
      <c r="A8940" s="4">
        <v>8935</v>
      </c>
      <c r="B8940" s="3" t="str">
        <f>"00672447"</f>
        <v>00672447</v>
      </c>
    </row>
    <row r="8941" spans="1:2" x14ac:dyDescent="0.25">
      <c r="A8941" s="4">
        <v>8936</v>
      </c>
      <c r="B8941" s="3" t="str">
        <f>"00672461"</f>
        <v>00672461</v>
      </c>
    </row>
    <row r="8942" spans="1:2" x14ac:dyDescent="0.25">
      <c r="A8942" s="4">
        <v>8937</v>
      </c>
      <c r="B8942" s="3" t="str">
        <f>"00672463"</f>
        <v>00672463</v>
      </c>
    </row>
    <row r="8943" spans="1:2" x14ac:dyDescent="0.25">
      <c r="A8943" s="4">
        <v>8938</v>
      </c>
      <c r="B8943" s="3" t="str">
        <f>"00672473"</f>
        <v>00672473</v>
      </c>
    </row>
    <row r="8944" spans="1:2" x14ac:dyDescent="0.25">
      <c r="A8944" s="4">
        <v>8939</v>
      </c>
      <c r="B8944" s="3" t="str">
        <f>"00672474"</f>
        <v>00672474</v>
      </c>
    </row>
    <row r="8945" spans="1:2" x14ac:dyDescent="0.25">
      <c r="A8945" s="4">
        <v>8940</v>
      </c>
      <c r="B8945" s="3" t="str">
        <f>"00672490"</f>
        <v>00672490</v>
      </c>
    </row>
    <row r="8946" spans="1:2" x14ac:dyDescent="0.25">
      <c r="A8946" s="4">
        <v>8941</v>
      </c>
      <c r="B8946" s="3" t="str">
        <f>"00672499"</f>
        <v>00672499</v>
      </c>
    </row>
    <row r="8947" spans="1:2" x14ac:dyDescent="0.25">
      <c r="A8947" s="4">
        <v>8942</v>
      </c>
      <c r="B8947" s="3" t="str">
        <f>"00672500"</f>
        <v>00672500</v>
      </c>
    </row>
    <row r="8948" spans="1:2" x14ac:dyDescent="0.25">
      <c r="A8948" s="4">
        <v>8943</v>
      </c>
      <c r="B8948" s="3" t="str">
        <f>"00672506"</f>
        <v>00672506</v>
      </c>
    </row>
    <row r="8949" spans="1:2" x14ac:dyDescent="0.25">
      <c r="A8949" s="4">
        <v>8944</v>
      </c>
      <c r="B8949" s="3" t="str">
        <f>"00672515"</f>
        <v>00672515</v>
      </c>
    </row>
    <row r="8950" spans="1:2" x14ac:dyDescent="0.25">
      <c r="A8950" s="4">
        <v>8945</v>
      </c>
      <c r="B8950" s="3" t="str">
        <f>"00672519"</f>
        <v>00672519</v>
      </c>
    </row>
    <row r="8951" spans="1:2" x14ac:dyDescent="0.25">
      <c r="A8951" s="4">
        <v>8946</v>
      </c>
      <c r="B8951" s="3" t="str">
        <f>"00672527"</f>
        <v>00672527</v>
      </c>
    </row>
    <row r="8952" spans="1:2" x14ac:dyDescent="0.25">
      <c r="A8952" s="4">
        <v>8947</v>
      </c>
      <c r="B8952" s="3" t="str">
        <f>"00672528"</f>
        <v>00672528</v>
      </c>
    </row>
    <row r="8953" spans="1:2" x14ac:dyDescent="0.25">
      <c r="A8953" s="4">
        <v>8948</v>
      </c>
      <c r="B8953" s="3" t="str">
        <f>"00672531"</f>
        <v>00672531</v>
      </c>
    </row>
    <row r="8954" spans="1:2" x14ac:dyDescent="0.25">
      <c r="A8954" s="4">
        <v>8949</v>
      </c>
      <c r="B8954" s="3" t="str">
        <f>"00672533"</f>
        <v>00672533</v>
      </c>
    </row>
    <row r="8955" spans="1:2" x14ac:dyDescent="0.25">
      <c r="A8955" s="4">
        <v>8950</v>
      </c>
      <c r="B8955" s="3" t="str">
        <f>"00672535"</f>
        <v>00672535</v>
      </c>
    </row>
    <row r="8956" spans="1:2" x14ac:dyDescent="0.25">
      <c r="A8956" s="4">
        <v>8951</v>
      </c>
      <c r="B8956" s="3" t="str">
        <f>"00672539"</f>
        <v>00672539</v>
      </c>
    </row>
    <row r="8957" spans="1:2" x14ac:dyDescent="0.25">
      <c r="A8957" s="4">
        <v>8952</v>
      </c>
      <c r="B8957" s="3" t="str">
        <f>"00672564"</f>
        <v>00672564</v>
      </c>
    </row>
    <row r="8958" spans="1:2" x14ac:dyDescent="0.25">
      <c r="A8958" s="4">
        <v>8953</v>
      </c>
      <c r="B8958" s="3" t="str">
        <f>"00672566"</f>
        <v>00672566</v>
      </c>
    </row>
    <row r="8959" spans="1:2" x14ac:dyDescent="0.25">
      <c r="A8959" s="4">
        <v>8954</v>
      </c>
      <c r="B8959" s="3" t="str">
        <f>"00672596"</f>
        <v>00672596</v>
      </c>
    </row>
    <row r="8960" spans="1:2" x14ac:dyDescent="0.25">
      <c r="A8960" s="4">
        <v>8955</v>
      </c>
      <c r="B8960" s="3" t="str">
        <f>"00672603"</f>
        <v>00672603</v>
      </c>
    </row>
    <row r="8961" spans="1:2" x14ac:dyDescent="0.25">
      <c r="A8961" s="4">
        <v>8956</v>
      </c>
      <c r="B8961" s="3" t="str">
        <f>"00672609"</f>
        <v>00672609</v>
      </c>
    </row>
    <row r="8962" spans="1:2" x14ac:dyDescent="0.25">
      <c r="A8962" s="4">
        <v>8957</v>
      </c>
      <c r="B8962" s="3" t="str">
        <f>"00672633"</f>
        <v>00672633</v>
      </c>
    </row>
    <row r="8963" spans="1:2" x14ac:dyDescent="0.25">
      <c r="A8963" s="4">
        <v>8958</v>
      </c>
      <c r="B8963" s="3" t="str">
        <f>"00672645"</f>
        <v>00672645</v>
      </c>
    </row>
    <row r="8964" spans="1:2" x14ac:dyDescent="0.25">
      <c r="A8964" s="4">
        <v>8959</v>
      </c>
      <c r="B8964" s="3" t="str">
        <f>"00672649"</f>
        <v>00672649</v>
      </c>
    </row>
    <row r="8965" spans="1:2" x14ac:dyDescent="0.25">
      <c r="A8965" s="4">
        <v>8960</v>
      </c>
      <c r="B8965" s="3" t="str">
        <f>"00672653"</f>
        <v>00672653</v>
      </c>
    </row>
    <row r="8966" spans="1:2" x14ac:dyDescent="0.25">
      <c r="A8966" s="4">
        <v>8961</v>
      </c>
      <c r="B8966" s="3" t="str">
        <f>"00672656"</f>
        <v>00672656</v>
      </c>
    </row>
    <row r="8967" spans="1:2" x14ac:dyDescent="0.25">
      <c r="A8967" s="4">
        <v>8962</v>
      </c>
      <c r="B8967" s="3" t="str">
        <f>"00672666"</f>
        <v>00672666</v>
      </c>
    </row>
    <row r="8968" spans="1:2" x14ac:dyDescent="0.25">
      <c r="A8968" s="4">
        <v>8963</v>
      </c>
      <c r="B8968" s="3" t="str">
        <f>"00672670"</f>
        <v>00672670</v>
      </c>
    </row>
    <row r="8969" spans="1:2" x14ac:dyDescent="0.25">
      <c r="A8969" s="4">
        <v>8964</v>
      </c>
      <c r="B8969" s="3" t="str">
        <f>"00672674"</f>
        <v>00672674</v>
      </c>
    </row>
    <row r="8970" spans="1:2" x14ac:dyDescent="0.25">
      <c r="A8970" s="4">
        <v>8965</v>
      </c>
      <c r="B8970" s="3" t="str">
        <f>"00672684"</f>
        <v>00672684</v>
      </c>
    </row>
    <row r="8971" spans="1:2" x14ac:dyDescent="0.25">
      <c r="A8971" s="4">
        <v>8966</v>
      </c>
      <c r="B8971" s="3" t="str">
        <f>"00672689"</f>
        <v>00672689</v>
      </c>
    </row>
    <row r="8972" spans="1:2" x14ac:dyDescent="0.25">
      <c r="A8972" s="4">
        <v>8967</v>
      </c>
      <c r="B8972" s="3" t="str">
        <f>"00672703"</f>
        <v>00672703</v>
      </c>
    </row>
    <row r="8973" spans="1:2" x14ac:dyDescent="0.25">
      <c r="A8973" s="4">
        <v>8968</v>
      </c>
      <c r="B8973" s="3" t="str">
        <f>"00672752"</f>
        <v>00672752</v>
      </c>
    </row>
    <row r="8974" spans="1:2" x14ac:dyDescent="0.25">
      <c r="A8974" s="4">
        <v>8969</v>
      </c>
      <c r="B8974" s="3" t="str">
        <f>"00672777"</f>
        <v>00672777</v>
      </c>
    </row>
    <row r="8975" spans="1:2" x14ac:dyDescent="0.25">
      <c r="A8975" s="4">
        <v>8970</v>
      </c>
      <c r="B8975" s="3" t="str">
        <f>"00672790"</f>
        <v>00672790</v>
      </c>
    </row>
    <row r="8976" spans="1:2" x14ac:dyDescent="0.25">
      <c r="A8976" s="4">
        <v>8971</v>
      </c>
      <c r="B8976" s="3" t="str">
        <f>"00672803"</f>
        <v>00672803</v>
      </c>
    </row>
    <row r="8977" spans="1:2" x14ac:dyDescent="0.25">
      <c r="A8977" s="4">
        <v>8972</v>
      </c>
      <c r="B8977" s="3" t="str">
        <f>"00672804"</f>
        <v>00672804</v>
      </c>
    </row>
    <row r="8978" spans="1:2" x14ac:dyDescent="0.25">
      <c r="A8978" s="4">
        <v>8973</v>
      </c>
      <c r="B8978" s="3" t="str">
        <f>"00672805"</f>
        <v>00672805</v>
      </c>
    </row>
    <row r="8979" spans="1:2" x14ac:dyDescent="0.25">
      <c r="A8979" s="4">
        <v>8974</v>
      </c>
      <c r="B8979" s="3" t="str">
        <f>"00672840"</f>
        <v>00672840</v>
      </c>
    </row>
    <row r="8980" spans="1:2" x14ac:dyDescent="0.25">
      <c r="A8980" s="4">
        <v>8975</v>
      </c>
      <c r="B8980" s="3" t="str">
        <f>"00672841"</f>
        <v>00672841</v>
      </c>
    </row>
    <row r="8981" spans="1:2" x14ac:dyDescent="0.25">
      <c r="A8981" s="4">
        <v>8976</v>
      </c>
      <c r="B8981" s="3" t="str">
        <f>"00672858"</f>
        <v>00672858</v>
      </c>
    </row>
    <row r="8982" spans="1:2" x14ac:dyDescent="0.25">
      <c r="A8982" s="4">
        <v>8977</v>
      </c>
      <c r="B8982" s="3" t="str">
        <f>"00672859"</f>
        <v>00672859</v>
      </c>
    </row>
    <row r="8983" spans="1:2" x14ac:dyDescent="0.25">
      <c r="A8983" s="4">
        <v>8978</v>
      </c>
      <c r="B8983" s="3" t="str">
        <f>"00672865"</f>
        <v>00672865</v>
      </c>
    </row>
    <row r="8984" spans="1:2" x14ac:dyDescent="0.25">
      <c r="A8984" s="4">
        <v>8979</v>
      </c>
      <c r="B8984" s="3" t="str">
        <f>"00672873"</f>
        <v>00672873</v>
      </c>
    </row>
    <row r="8985" spans="1:2" x14ac:dyDescent="0.25">
      <c r="A8985" s="4">
        <v>8980</v>
      </c>
      <c r="B8985" s="3" t="str">
        <f>"00672874"</f>
        <v>00672874</v>
      </c>
    </row>
    <row r="8986" spans="1:2" x14ac:dyDescent="0.25">
      <c r="A8986" s="4">
        <v>8981</v>
      </c>
      <c r="B8986" s="3" t="str">
        <f>"00672885"</f>
        <v>00672885</v>
      </c>
    </row>
    <row r="8987" spans="1:2" x14ac:dyDescent="0.25">
      <c r="A8987" s="4">
        <v>8982</v>
      </c>
      <c r="B8987" s="3" t="str">
        <f>"00672900"</f>
        <v>00672900</v>
      </c>
    </row>
    <row r="8988" spans="1:2" x14ac:dyDescent="0.25">
      <c r="A8988" s="4">
        <v>8983</v>
      </c>
      <c r="B8988" s="3" t="str">
        <f>"00672902"</f>
        <v>00672902</v>
      </c>
    </row>
    <row r="8989" spans="1:2" x14ac:dyDescent="0.25">
      <c r="A8989" s="4">
        <v>8984</v>
      </c>
      <c r="B8989" s="3" t="str">
        <f>"00672907"</f>
        <v>00672907</v>
      </c>
    </row>
    <row r="8990" spans="1:2" x14ac:dyDescent="0.25">
      <c r="A8990" s="4">
        <v>8985</v>
      </c>
      <c r="B8990" s="3" t="str">
        <f>"00672908"</f>
        <v>00672908</v>
      </c>
    </row>
    <row r="8991" spans="1:2" x14ac:dyDescent="0.25">
      <c r="A8991" s="4">
        <v>8986</v>
      </c>
      <c r="B8991" s="3" t="str">
        <f>"00672911"</f>
        <v>00672911</v>
      </c>
    </row>
    <row r="8992" spans="1:2" x14ac:dyDescent="0.25">
      <c r="A8992" s="4">
        <v>8987</v>
      </c>
      <c r="B8992" s="3" t="str">
        <f>"00672927"</f>
        <v>00672927</v>
      </c>
    </row>
    <row r="8993" spans="1:2" x14ac:dyDescent="0.25">
      <c r="A8993" s="4">
        <v>8988</v>
      </c>
      <c r="B8993" s="3" t="str">
        <f>"00672936"</f>
        <v>00672936</v>
      </c>
    </row>
    <row r="8994" spans="1:2" x14ac:dyDescent="0.25">
      <c r="A8994" s="4">
        <v>8989</v>
      </c>
      <c r="B8994" s="3" t="str">
        <f>"00672944"</f>
        <v>00672944</v>
      </c>
    </row>
    <row r="8995" spans="1:2" x14ac:dyDescent="0.25">
      <c r="A8995" s="4">
        <v>8990</v>
      </c>
      <c r="B8995" s="3" t="str">
        <f>"00672951"</f>
        <v>00672951</v>
      </c>
    </row>
    <row r="8996" spans="1:2" x14ac:dyDescent="0.25">
      <c r="A8996" s="4">
        <v>8991</v>
      </c>
      <c r="B8996" s="3" t="str">
        <f>"00672962"</f>
        <v>00672962</v>
      </c>
    </row>
    <row r="8997" spans="1:2" x14ac:dyDescent="0.25">
      <c r="A8997" s="4">
        <v>8992</v>
      </c>
      <c r="B8997" s="3" t="str">
        <f>"00672983"</f>
        <v>00672983</v>
      </c>
    </row>
    <row r="8998" spans="1:2" x14ac:dyDescent="0.25">
      <c r="A8998" s="4">
        <v>8993</v>
      </c>
      <c r="B8998" s="3" t="str">
        <f>"00672984"</f>
        <v>00672984</v>
      </c>
    </row>
    <row r="8999" spans="1:2" x14ac:dyDescent="0.25">
      <c r="A8999" s="4">
        <v>8994</v>
      </c>
      <c r="B8999" s="3" t="str">
        <f>"00672995"</f>
        <v>00672995</v>
      </c>
    </row>
    <row r="9000" spans="1:2" x14ac:dyDescent="0.25">
      <c r="A9000" s="4">
        <v>8995</v>
      </c>
      <c r="B9000" s="3" t="str">
        <f>"00673021"</f>
        <v>00673021</v>
      </c>
    </row>
    <row r="9001" spans="1:2" x14ac:dyDescent="0.25">
      <c r="A9001" s="4">
        <v>8996</v>
      </c>
      <c r="B9001" s="3" t="str">
        <f>"00673028"</f>
        <v>00673028</v>
      </c>
    </row>
    <row r="9002" spans="1:2" x14ac:dyDescent="0.25">
      <c r="A9002" s="4">
        <v>8997</v>
      </c>
      <c r="B9002" s="3" t="str">
        <f>"00673035"</f>
        <v>00673035</v>
      </c>
    </row>
    <row r="9003" spans="1:2" x14ac:dyDescent="0.25">
      <c r="A9003" s="4">
        <v>8998</v>
      </c>
      <c r="B9003" s="3" t="str">
        <f>"00673039"</f>
        <v>00673039</v>
      </c>
    </row>
    <row r="9004" spans="1:2" x14ac:dyDescent="0.25">
      <c r="A9004" s="4">
        <v>8999</v>
      </c>
      <c r="B9004" s="3" t="str">
        <f>"00673060"</f>
        <v>00673060</v>
      </c>
    </row>
    <row r="9005" spans="1:2" x14ac:dyDescent="0.25">
      <c r="A9005" s="4">
        <v>9000</v>
      </c>
      <c r="B9005" s="3" t="str">
        <f>"00673080"</f>
        <v>00673080</v>
      </c>
    </row>
    <row r="9006" spans="1:2" x14ac:dyDescent="0.25">
      <c r="A9006" s="4">
        <v>9001</v>
      </c>
      <c r="B9006" s="3" t="str">
        <f>"00673089"</f>
        <v>00673089</v>
      </c>
    </row>
    <row r="9007" spans="1:2" x14ac:dyDescent="0.25">
      <c r="A9007" s="4">
        <v>9002</v>
      </c>
      <c r="B9007" s="3" t="str">
        <f>"00673109"</f>
        <v>00673109</v>
      </c>
    </row>
    <row r="9008" spans="1:2" x14ac:dyDescent="0.25">
      <c r="A9008" s="4">
        <v>9003</v>
      </c>
      <c r="B9008" s="3" t="str">
        <f>"00673126"</f>
        <v>00673126</v>
      </c>
    </row>
    <row r="9009" spans="1:2" x14ac:dyDescent="0.25">
      <c r="A9009" s="4">
        <v>9004</v>
      </c>
      <c r="B9009" s="3" t="str">
        <f>"00673180"</f>
        <v>00673180</v>
      </c>
    </row>
    <row r="9010" spans="1:2" x14ac:dyDescent="0.25">
      <c r="A9010" s="4">
        <v>9005</v>
      </c>
      <c r="B9010" s="3" t="str">
        <f>"00673190"</f>
        <v>00673190</v>
      </c>
    </row>
    <row r="9011" spans="1:2" x14ac:dyDescent="0.25">
      <c r="A9011" s="4">
        <v>9006</v>
      </c>
      <c r="B9011" s="3" t="str">
        <f>"00673194"</f>
        <v>00673194</v>
      </c>
    </row>
    <row r="9012" spans="1:2" x14ac:dyDescent="0.25">
      <c r="A9012" s="4">
        <v>9007</v>
      </c>
      <c r="B9012" s="3" t="str">
        <f>"00673200"</f>
        <v>00673200</v>
      </c>
    </row>
    <row r="9013" spans="1:2" x14ac:dyDescent="0.25">
      <c r="A9013" s="4">
        <v>9008</v>
      </c>
      <c r="B9013" s="3" t="str">
        <f>"00673211"</f>
        <v>00673211</v>
      </c>
    </row>
    <row r="9014" spans="1:2" x14ac:dyDescent="0.25">
      <c r="A9014" s="4">
        <v>9009</v>
      </c>
      <c r="B9014" s="3" t="str">
        <f>"00673221"</f>
        <v>00673221</v>
      </c>
    </row>
    <row r="9015" spans="1:2" x14ac:dyDescent="0.25">
      <c r="A9015" s="4">
        <v>9010</v>
      </c>
      <c r="B9015" s="3" t="str">
        <f>"00673315"</f>
        <v>00673315</v>
      </c>
    </row>
    <row r="9016" spans="1:2" x14ac:dyDescent="0.25">
      <c r="A9016" s="4">
        <v>9011</v>
      </c>
      <c r="B9016" s="3" t="str">
        <f>"00673316"</f>
        <v>00673316</v>
      </c>
    </row>
    <row r="9017" spans="1:2" x14ac:dyDescent="0.25">
      <c r="A9017" s="4">
        <v>9012</v>
      </c>
      <c r="B9017" s="3" t="str">
        <f>"00673325"</f>
        <v>00673325</v>
      </c>
    </row>
    <row r="9018" spans="1:2" x14ac:dyDescent="0.25">
      <c r="A9018" s="4">
        <v>9013</v>
      </c>
      <c r="B9018" s="3" t="str">
        <f>"00673342"</f>
        <v>00673342</v>
      </c>
    </row>
    <row r="9019" spans="1:2" x14ac:dyDescent="0.25">
      <c r="A9019" s="4">
        <v>9014</v>
      </c>
      <c r="B9019" s="3" t="str">
        <f>"00673350"</f>
        <v>00673350</v>
      </c>
    </row>
    <row r="9020" spans="1:2" x14ac:dyDescent="0.25">
      <c r="A9020" s="4">
        <v>9015</v>
      </c>
      <c r="B9020" s="3" t="str">
        <f>"00673374"</f>
        <v>00673374</v>
      </c>
    </row>
    <row r="9021" spans="1:2" x14ac:dyDescent="0.25">
      <c r="A9021" s="4">
        <v>9016</v>
      </c>
      <c r="B9021" s="3" t="str">
        <f>"00673386"</f>
        <v>00673386</v>
      </c>
    </row>
    <row r="9022" spans="1:2" x14ac:dyDescent="0.25">
      <c r="A9022" s="4">
        <v>9017</v>
      </c>
      <c r="B9022" s="3" t="str">
        <f>"00673388"</f>
        <v>00673388</v>
      </c>
    </row>
    <row r="9023" spans="1:2" x14ac:dyDescent="0.25">
      <c r="A9023" s="4">
        <v>9018</v>
      </c>
      <c r="B9023" s="3" t="str">
        <f>"00673481"</f>
        <v>00673481</v>
      </c>
    </row>
    <row r="9024" spans="1:2" x14ac:dyDescent="0.25">
      <c r="A9024" s="4">
        <v>9019</v>
      </c>
      <c r="B9024" s="3" t="str">
        <f>"00673489"</f>
        <v>00673489</v>
      </c>
    </row>
    <row r="9025" spans="1:2" x14ac:dyDescent="0.25">
      <c r="A9025" s="4">
        <v>9020</v>
      </c>
      <c r="B9025" s="3" t="str">
        <f>"00673493"</f>
        <v>00673493</v>
      </c>
    </row>
    <row r="9026" spans="1:2" x14ac:dyDescent="0.25">
      <c r="A9026" s="4">
        <v>9021</v>
      </c>
      <c r="B9026" s="3" t="str">
        <f>"00673498"</f>
        <v>00673498</v>
      </c>
    </row>
    <row r="9027" spans="1:2" x14ac:dyDescent="0.25">
      <c r="A9027" s="4">
        <v>9022</v>
      </c>
      <c r="B9027" s="3" t="str">
        <f>"00673539"</f>
        <v>00673539</v>
      </c>
    </row>
    <row r="9028" spans="1:2" x14ac:dyDescent="0.25">
      <c r="A9028" s="4">
        <v>9023</v>
      </c>
      <c r="B9028" s="3" t="str">
        <f>"00673547"</f>
        <v>00673547</v>
      </c>
    </row>
    <row r="9029" spans="1:2" x14ac:dyDescent="0.25">
      <c r="A9029" s="4">
        <v>9024</v>
      </c>
      <c r="B9029" s="3" t="str">
        <f>"00673550"</f>
        <v>00673550</v>
      </c>
    </row>
    <row r="9030" spans="1:2" x14ac:dyDescent="0.25">
      <c r="A9030" s="4">
        <v>9025</v>
      </c>
      <c r="B9030" s="3" t="str">
        <f>"00673555"</f>
        <v>00673555</v>
      </c>
    </row>
    <row r="9031" spans="1:2" x14ac:dyDescent="0.25">
      <c r="A9031" s="4">
        <v>9026</v>
      </c>
      <c r="B9031" s="3" t="str">
        <f>"00673560"</f>
        <v>00673560</v>
      </c>
    </row>
    <row r="9032" spans="1:2" x14ac:dyDescent="0.25">
      <c r="A9032" s="4">
        <v>9027</v>
      </c>
      <c r="B9032" s="3" t="str">
        <f>"00673562"</f>
        <v>00673562</v>
      </c>
    </row>
    <row r="9033" spans="1:2" x14ac:dyDescent="0.25">
      <c r="A9033" s="4">
        <v>9028</v>
      </c>
      <c r="B9033" s="3" t="str">
        <f>"00673668"</f>
        <v>00673668</v>
      </c>
    </row>
    <row r="9034" spans="1:2" x14ac:dyDescent="0.25">
      <c r="A9034" s="4">
        <v>9029</v>
      </c>
      <c r="B9034" s="3" t="str">
        <f>"00673672"</f>
        <v>00673672</v>
      </c>
    </row>
    <row r="9035" spans="1:2" x14ac:dyDescent="0.25">
      <c r="A9035" s="4">
        <v>9030</v>
      </c>
      <c r="B9035" s="3" t="str">
        <f>"00673684"</f>
        <v>00673684</v>
      </c>
    </row>
    <row r="9036" spans="1:2" x14ac:dyDescent="0.25">
      <c r="A9036" s="4">
        <v>9031</v>
      </c>
      <c r="B9036" s="3" t="str">
        <f>"00673706"</f>
        <v>00673706</v>
      </c>
    </row>
    <row r="9037" spans="1:2" x14ac:dyDescent="0.25">
      <c r="A9037" s="4">
        <v>9032</v>
      </c>
      <c r="B9037" s="3" t="str">
        <f>"00673743"</f>
        <v>00673743</v>
      </c>
    </row>
    <row r="9038" spans="1:2" x14ac:dyDescent="0.25">
      <c r="A9038" s="4">
        <v>9033</v>
      </c>
      <c r="B9038" s="3" t="str">
        <f>"00673758"</f>
        <v>00673758</v>
      </c>
    </row>
    <row r="9039" spans="1:2" x14ac:dyDescent="0.25">
      <c r="A9039" s="4">
        <v>9034</v>
      </c>
      <c r="B9039" s="3" t="str">
        <f>"00673760"</f>
        <v>00673760</v>
      </c>
    </row>
    <row r="9040" spans="1:2" x14ac:dyDescent="0.25">
      <c r="A9040" s="4">
        <v>9035</v>
      </c>
      <c r="B9040" s="3" t="str">
        <f>"00673762"</f>
        <v>00673762</v>
      </c>
    </row>
    <row r="9041" spans="1:2" x14ac:dyDescent="0.25">
      <c r="A9041" s="4">
        <v>9036</v>
      </c>
      <c r="B9041" s="3" t="str">
        <f>"00673775"</f>
        <v>00673775</v>
      </c>
    </row>
    <row r="9042" spans="1:2" x14ac:dyDescent="0.25">
      <c r="A9042" s="4">
        <v>9037</v>
      </c>
      <c r="B9042" s="3" t="str">
        <f>"00673780"</f>
        <v>00673780</v>
      </c>
    </row>
    <row r="9043" spans="1:2" x14ac:dyDescent="0.25">
      <c r="A9043" s="4">
        <v>9038</v>
      </c>
      <c r="B9043" s="3" t="str">
        <f>"00673787"</f>
        <v>00673787</v>
      </c>
    </row>
    <row r="9044" spans="1:2" x14ac:dyDescent="0.25">
      <c r="A9044" s="4">
        <v>9039</v>
      </c>
      <c r="B9044" s="3" t="str">
        <f>"00673793"</f>
        <v>00673793</v>
      </c>
    </row>
    <row r="9045" spans="1:2" x14ac:dyDescent="0.25">
      <c r="A9045" s="4">
        <v>9040</v>
      </c>
      <c r="B9045" s="3" t="str">
        <f>"00673800"</f>
        <v>00673800</v>
      </c>
    </row>
    <row r="9046" spans="1:2" x14ac:dyDescent="0.25">
      <c r="A9046" s="4">
        <v>9041</v>
      </c>
      <c r="B9046" s="3" t="str">
        <f>"00673813"</f>
        <v>00673813</v>
      </c>
    </row>
    <row r="9047" spans="1:2" x14ac:dyDescent="0.25">
      <c r="A9047" s="4">
        <v>9042</v>
      </c>
      <c r="B9047" s="3" t="str">
        <f>"00673828"</f>
        <v>00673828</v>
      </c>
    </row>
    <row r="9048" spans="1:2" x14ac:dyDescent="0.25">
      <c r="A9048" s="4">
        <v>9043</v>
      </c>
      <c r="B9048" s="3" t="str">
        <f>"00673836"</f>
        <v>00673836</v>
      </c>
    </row>
    <row r="9049" spans="1:2" x14ac:dyDescent="0.25">
      <c r="A9049" s="4">
        <v>9044</v>
      </c>
      <c r="B9049" s="3" t="str">
        <f>"00673850"</f>
        <v>00673850</v>
      </c>
    </row>
    <row r="9050" spans="1:2" x14ac:dyDescent="0.25">
      <c r="A9050" s="4">
        <v>9045</v>
      </c>
      <c r="B9050" s="3" t="str">
        <f>"00673853"</f>
        <v>00673853</v>
      </c>
    </row>
    <row r="9051" spans="1:2" x14ac:dyDescent="0.25">
      <c r="A9051" s="4">
        <v>9046</v>
      </c>
      <c r="B9051" s="3" t="str">
        <f>"00673862"</f>
        <v>00673862</v>
      </c>
    </row>
    <row r="9052" spans="1:2" x14ac:dyDescent="0.25">
      <c r="A9052" s="4">
        <v>9047</v>
      </c>
      <c r="B9052" s="3" t="str">
        <f>"00673868"</f>
        <v>00673868</v>
      </c>
    </row>
    <row r="9053" spans="1:2" x14ac:dyDescent="0.25">
      <c r="A9053" s="4">
        <v>9048</v>
      </c>
      <c r="B9053" s="3" t="str">
        <f>"00673883"</f>
        <v>00673883</v>
      </c>
    </row>
    <row r="9054" spans="1:2" x14ac:dyDescent="0.25">
      <c r="A9054" s="4">
        <v>9049</v>
      </c>
      <c r="B9054" s="3" t="str">
        <f>"00673884"</f>
        <v>00673884</v>
      </c>
    </row>
    <row r="9055" spans="1:2" x14ac:dyDescent="0.25">
      <c r="A9055" s="4">
        <v>9050</v>
      </c>
      <c r="B9055" s="3" t="str">
        <f>"00673886"</f>
        <v>00673886</v>
      </c>
    </row>
    <row r="9056" spans="1:2" x14ac:dyDescent="0.25">
      <c r="A9056" s="4">
        <v>9051</v>
      </c>
      <c r="B9056" s="3" t="str">
        <f>"00673898"</f>
        <v>00673898</v>
      </c>
    </row>
    <row r="9057" spans="1:2" x14ac:dyDescent="0.25">
      <c r="A9057" s="4">
        <v>9052</v>
      </c>
      <c r="B9057" s="3" t="str">
        <f>"00673902"</f>
        <v>00673902</v>
      </c>
    </row>
    <row r="9058" spans="1:2" x14ac:dyDescent="0.25">
      <c r="A9058" s="4">
        <v>9053</v>
      </c>
      <c r="B9058" s="3" t="str">
        <f>"00673905"</f>
        <v>00673905</v>
      </c>
    </row>
    <row r="9059" spans="1:2" x14ac:dyDescent="0.25">
      <c r="A9059" s="4">
        <v>9054</v>
      </c>
      <c r="B9059" s="3" t="str">
        <f>"00673921"</f>
        <v>00673921</v>
      </c>
    </row>
    <row r="9060" spans="1:2" x14ac:dyDescent="0.25">
      <c r="A9060" s="4">
        <v>9055</v>
      </c>
      <c r="B9060" s="3" t="str">
        <f>"00673933"</f>
        <v>00673933</v>
      </c>
    </row>
    <row r="9061" spans="1:2" x14ac:dyDescent="0.25">
      <c r="A9061" s="4">
        <v>9056</v>
      </c>
      <c r="B9061" s="3" t="str">
        <f>"00673939"</f>
        <v>00673939</v>
      </c>
    </row>
    <row r="9062" spans="1:2" x14ac:dyDescent="0.25">
      <c r="A9062" s="4">
        <v>9057</v>
      </c>
      <c r="B9062" s="3" t="str">
        <f>"00673950"</f>
        <v>00673950</v>
      </c>
    </row>
    <row r="9063" spans="1:2" x14ac:dyDescent="0.25">
      <c r="A9063" s="4">
        <v>9058</v>
      </c>
      <c r="B9063" s="3" t="str">
        <f>"00673974"</f>
        <v>00673974</v>
      </c>
    </row>
    <row r="9064" spans="1:2" x14ac:dyDescent="0.25">
      <c r="A9064" s="4">
        <v>9059</v>
      </c>
      <c r="B9064" s="3" t="str">
        <f>"00673978"</f>
        <v>00673978</v>
      </c>
    </row>
    <row r="9065" spans="1:2" x14ac:dyDescent="0.25">
      <c r="A9065" s="4">
        <v>9060</v>
      </c>
      <c r="B9065" s="3" t="str">
        <f>"00673980"</f>
        <v>00673980</v>
      </c>
    </row>
    <row r="9066" spans="1:2" x14ac:dyDescent="0.25">
      <c r="A9066" s="4">
        <v>9061</v>
      </c>
      <c r="B9066" s="3" t="str">
        <f>"00673981"</f>
        <v>00673981</v>
      </c>
    </row>
    <row r="9067" spans="1:2" x14ac:dyDescent="0.25">
      <c r="A9067" s="4">
        <v>9062</v>
      </c>
      <c r="B9067" s="3" t="str">
        <f>"00674017"</f>
        <v>00674017</v>
      </c>
    </row>
    <row r="9068" spans="1:2" x14ac:dyDescent="0.25">
      <c r="A9068" s="4">
        <v>9063</v>
      </c>
      <c r="B9068" s="3" t="str">
        <f>"00674021"</f>
        <v>00674021</v>
      </c>
    </row>
    <row r="9069" spans="1:2" x14ac:dyDescent="0.25">
      <c r="A9069" s="4">
        <v>9064</v>
      </c>
      <c r="B9069" s="3" t="str">
        <f>"00674032"</f>
        <v>00674032</v>
      </c>
    </row>
    <row r="9070" spans="1:2" x14ac:dyDescent="0.25">
      <c r="A9070" s="4">
        <v>9065</v>
      </c>
      <c r="B9070" s="3" t="str">
        <f>"00674042"</f>
        <v>00674042</v>
      </c>
    </row>
    <row r="9071" spans="1:2" x14ac:dyDescent="0.25">
      <c r="A9071" s="4">
        <v>9066</v>
      </c>
      <c r="B9071" s="3" t="str">
        <f>"00674043"</f>
        <v>00674043</v>
      </c>
    </row>
    <row r="9072" spans="1:2" x14ac:dyDescent="0.25">
      <c r="A9072" s="4">
        <v>9067</v>
      </c>
      <c r="B9072" s="3" t="str">
        <f>"00674053"</f>
        <v>00674053</v>
      </c>
    </row>
    <row r="9073" spans="1:2" x14ac:dyDescent="0.25">
      <c r="A9073" s="4">
        <v>9068</v>
      </c>
      <c r="B9073" s="3" t="str">
        <f>"00674058"</f>
        <v>00674058</v>
      </c>
    </row>
    <row r="9074" spans="1:2" x14ac:dyDescent="0.25">
      <c r="A9074" s="4">
        <v>9069</v>
      </c>
      <c r="B9074" s="3" t="str">
        <f>"00674070"</f>
        <v>00674070</v>
      </c>
    </row>
    <row r="9075" spans="1:2" x14ac:dyDescent="0.25">
      <c r="A9075" s="4">
        <v>9070</v>
      </c>
      <c r="B9075" s="3" t="str">
        <f>"00674076"</f>
        <v>00674076</v>
      </c>
    </row>
    <row r="9076" spans="1:2" x14ac:dyDescent="0.25">
      <c r="A9076" s="4">
        <v>9071</v>
      </c>
      <c r="B9076" s="3" t="str">
        <f>"00674077"</f>
        <v>00674077</v>
      </c>
    </row>
    <row r="9077" spans="1:2" x14ac:dyDescent="0.25">
      <c r="A9077" s="4">
        <v>9072</v>
      </c>
      <c r="B9077" s="3" t="str">
        <f>"00674087"</f>
        <v>00674087</v>
      </c>
    </row>
    <row r="9078" spans="1:2" x14ac:dyDescent="0.25">
      <c r="A9078" s="4">
        <v>9073</v>
      </c>
      <c r="B9078" s="3" t="str">
        <f>"00674088"</f>
        <v>00674088</v>
      </c>
    </row>
    <row r="9079" spans="1:2" x14ac:dyDescent="0.25">
      <c r="A9079" s="4">
        <v>9074</v>
      </c>
      <c r="B9079" s="3" t="str">
        <f>"00674092"</f>
        <v>00674092</v>
      </c>
    </row>
    <row r="9080" spans="1:2" x14ac:dyDescent="0.25">
      <c r="A9080" s="4">
        <v>9075</v>
      </c>
      <c r="B9080" s="3" t="str">
        <f>"00674100"</f>
        <v>00674100</v>
      </c>
    </row>
    <row r="9081" spans="1:2" x14ac:dyDescent="0.25">
      <c r="A9081" s="4">
        <v>9076</v>
      </c>
      <c r="B9081" s="3" t="str">
        <f>"00674109"</f>
        <v>00674109</v>
      </c>
    </row>
    <row r="9082" spans="1:2" x14ac:dyDescent="0.25">
      <c r="A9082" s="4">
        <v>9077</v>
      </c>
      <c r="B9082" s="3" t="str">
        <f>"00674122"</f>
        <v>00674122</v>
      </c>
    </row>
    <row r="9083" spans="1:2" x14ac:dyDescent="0.25">
      <c r="A9083" s="4">
        <v>9078</v>
      </c>
      <c r="B9083" s="3" t="str">
        <f>"00674128"</f>
        <v>00674128</v>
      </c>
    </row>
    <row r="9084" spans="1:2" x14ac:dyDescent="0.25">
      <c r="A9084" s="4">
        <v>9079</v>
      </c>
      <c r="B9084" s="3" t="str">
        <f>"00674142"</f>
        <v>00674142</v>
      </c>
    </row>
    <row r="9085" spans="1:2" x14ac:dyDescent="0.25">
      <c r="A9085" s="4">
        <v>9080</v>
      </c>
      <c r="B9085" s="3" t="str">
        <f>"00674143"</f>
        <v>00674143</v>
      </c>
    </row>
    <row r="9086" spans="1:2" x14ac:dyDescent="0.25">
      <c r="A9086" s="4">
        <v>9081</v>
      </c>
      <c r="B9086" s="3" t="str">
        <f>"00674152"</f>
        <v>00674152</v>
      </c>
    </row>
    <row r="9087" spans="1:2" x14ac:dyDescent="0.25">
      <c r="A9087" s="4">
        <v>9082</v>
      </c>
      <c r="B9087" s="3" t="str">
        <f>"00674157"</f>
        <v>00674157</v>
      </c>
    </row>
    <row r="9088" spans="1:2" x14ac:dyDescent="0.25">
      <c r="A9088" s="4">
        <v>9083</v>
      </c>
      <c r="B9088" s="3" t="str">
        <f>"00674158"</f>
        <v>00674158</v>
      </c>
    </row>
    <row r="9089" spans="1:2" x14ac:dyDescent="0.25">
      <c r="A9089" s="4">
        <v>9084</v>
      </c>
      <c r="B9089" s="3" t="str">
        <f>"00674173"</f>
        <v>00674173</v>
      </c>
    </row>
    <row r="9090" spans="1:2" x14ac:dyDescent="0.25">
      <c r="A9090" s="4">
        <v>9085</v>
      </c>
      <c r="B9090" s="3" t="str">
        <f>"00674175"</f>
        <v>00674175</v>
      </c>
    </row>
    <row r="9091" spans="1:2" x14ac:dyDescent="0.25">
      <c r="A9091" s="4">
        <v>9086</v>
      </c>
      <c r="B9091" s="3" t="str">
        <f>"00674182"</f>
        <v>00674182</v>
      </c>
    </row>
    <row r="9092" spans="1:2" x14ac:dyDescent="0.25">
      <c r="A9092" s="4">
        <v>9087</v>
      </c>
      <c r="B9092" s="3" t="str">
        <f>"00674190"</f>
        <v>00674190</v>
      </c>
    </row>
    <row r="9093" spans="1:2" x14ac:dyDescent="0.25">
      <c r="A9093" s="4">
        <v>9088</v>
      </c>
      <c r="B9093" s="3" t="str">
        <f>"00674207"</f>
        <v>00674207</v>
      </c>
    </row>
    <row r="9094" spans="1:2" x14ac:dyDescent="0.25">
      <c r="A9094" s="4">
        <v>9089</v>
      </c>
      <c r="B9094" s="3" t="str">
        <f>"00674215"</f>
        <v>00674215</v>
      </c>
    </row>
    <row r="9095" spans="1:2" x14ac:dyDescent="0.25">
      <c r="A9095" s="4">
        <v>9090</v>
      </c>
      <c r="B9095" s="3" t="str">
        <f>"00674217"</f>
        <v>00674217</v>
      </c>
    </row>
    <row r="9096" spans="1:2" x14ac:dyDescent="0.25">
      <c r="A9096" s="4">
        <v>9091</v>
      </c>
      <c r="B9096" s="3" t="str">
        <f>"00674226"</f>
        <v>00674226</v>
      </c>
    </row>
    <row r="9097" spans="1:2" x14ac:dyDescent="0.25">
      <c r="A9097" s="4">
        <v>9092</v>
      </c>
      <c r="B9097" s="3" t="str">
        <f>"00674249"</f>
        <v>00674249</v>
      </c>
    </row>
    <row r="9098" spans="1:2" x14ac:dyDescent="0.25">
      <c r="A9098" s="4">
        <v>9093</v>
      </c>
      <c r="B9098" s="3" t="str">
        <f>"00674252"</f>
        <v>00674252</v>
      </c>
    </row>
    <row r="9099" spans="1:2" x14ac:dyDescent="0.25">
      <c r="A9099" s="4">
        <v>9094</v>
      </c>
      <c r="B9099" s="3" t="str">
        <f>"00674265"</f>
        <v>00674265</v>
      </c>
    </row>
    <row r="9100" spans="1:2" x14ac:dyDescent="0.25">
      <c r="A9100" s="4">
        <v>9095</v>
      </c>
      <c r="B9100" s="3" t="str">
        <f>"00674271"</f>
        <v>00674271</v>
      </c>
    </row>
    <row r="9101" spans="1:2" x14ac:dyDescent="0.25">
      <c r="A9101" s="4">
        <v>9096</v>
      </c>
      <c r="B9101" s="3" t="str">
        <f>"00674274"</f>
        <v>00674274</v>
      </c>
    </row>
    <row r="9102" spans="1:2" x14ac:dyDescent="0.25">
      <c r="A9102" s="4">
        <v>9097</v>
      </c>
      <c r="B9102" s="3" t="str">
        <f>"00674289"</f>
        <v>00674289</v>
      </c>
    </row>
    <row r="9103" spans="1:2" x14ac:dyDescent="0.25">
      <c r="A9103" s="4">
        <v>9098</v>
      </c>
      <c r="B9103" s="3" t="str">
        <f>"00674305"</f>
        <v>00674305</v>
      </c>
    </row>
    <row r="9104" spans="1:2" x14ac:dyDescent="0.25">
      <c r="A9104" s="4">
        <v>9099</v>
      </c>
      <c r="B9104" s="3" t="str">
        <f>"00674319"</f>
        <v>00674319</v>
      </c>
    </row>
    <row r="9105" spans="1:2" x14ac:dyDescent="0.25">
      <c r="A9105" s="4">
        <v>9100</v>
      </c>
      <c r="B9105" s="3" t="str">
        <f>"00674331"</f>
        <v>00674331</v>
      </c>
    </row>
    <row r="9106" spans="1:2" x14ac:dyDescent="0.25">
      <c r="A9106" s="4">
        <v>9101</v>
      </c>
      <c r="B9106" s="3" t="str">
        <f>"00674352"</f>
        <v>00674352</v>
      </c>
    </row>
    <row r="9107" spans="1:2" x14ac:dyDescent="0.25">
      <c r="A9107" s="4">
        <v>9102</v>
      </c>
      <c r="B9107" s="3" t="str">
        <f>"00674384"</f>
        <v>00674384</v>
      </c>
    </row>
    <row r="9108" spans="1:2" x14ac:dyDescent="0.25">
      <c r="A9108" s="4">
        <v>9103</v>
      </c>
      <c r="B9108" s="3" t="str">
        <f>"00674413"</f>
        <v>00674413</v>
      </c>
    </row>
    <row r="9109" spans="1:2" x14ac:dyDescent="0.25">
      <c r="A9109" s="4">
        <v>9104</v>
      </c>
      <c r="B9109" s="3" t="str">
        <f>"00674441"</f>
        <v>00674441</v>
      </c>
    </row>
    <row r="9110" spans="1:2" x14ac:dyDescent="0.25">
      <c r="A9110" s="4">
        <v>9105</v>
      </c>
      <c r="B9110" s="3" t="str">
        <f>"00674450"</f>
        <v>00674450</v>
      </c>
    </row>
    <row r="9111" spans="1:2" x14ac:dyDescent="0.25">
      <c r="A9111" s="4">
        <v>9106</v>
      </c>
      <c r="B9111" s="3" t="str">
        <f>"00674457"</f>
        <v>00674457</v>
      </c>
    </row>
    <row r="9112" spans="1:2" x14ac:dyDescent="0.25">
      <c r="A9112" s="4">
        <v>9107</v>
      </c>
      <c r="B9112" s="3" t="str">
        <f>"00674478"</f>
        <v>00674478</v>
      </c>
    </row>
    <row r="9113" spans="1:2" x14ac:dyDescent="0.25">
      <c r="A9113" s="4">
        <v>9108</v>
      </c>
      <c r="B9113" s="3" t="str">
        <f>"00674487"</f>
        <v>00674487</v>
      </c>
    </row>
    <row r="9114" spans="1:2" x14ac:dyDescent="0.25">
      <c r="A9114" s="4">
        <v>9109</v>
      </c>
      <c r="B9114" s="3" t="str">
        <f>"00674512"</f>
        <v>00674512</v>
      </c>
    </row>
    <row r="9115" spans="1:2" x14ac:dyDescent="0.25">
      <c r="A9115" s="4">
        <v>9110</v>
      </c>
      <c r="B9115" s="3" t="str">
        <f>"00674517"</f>
        <v>00674517</v>
      </c>
    </row>
    <row r="9116" spans="1:2" x14ac:dyDescent="0.25">
      <c r="A9116" s="4">
        <v>9111</v>
      </c>
      <c r="B9116" s="3" t="str">
        <f>"00674529"</f>
        <v>00674529</v>
      </c>
    </row>
    <row r="9117" spans="1:2" x14ac:dyDescent="0.25">
      <c r="A9117" s="4">
        <v>9112</v>
      </c>
      <c r="B9117" s="3" t="str">
        <f>"00674531"</f>
        <v>00674531</v>
      </c>
    </row>
    <row r="9118" spans="1:2" x14ac:dyDescent="0.25">
      <c r="A9118" s="4">
        <v>9113</v>
      </c>
      <c r="B9118" s="3" t="str">
        <f>"00674533"</f>
        <v>00674533</v>
      </c>
    </row>
    <row r="9119" spans="1:2" x14ac:dyDescent="0.25">
      <c r="A9119" s="4">
        <v>9114</v>
      </c>
      <c r="B9119" s="3" t="str">
        <f>"00674534"</f>
        <v>00674534</v>
      </c>
    </row>
    <row r="9120" spans="1:2" x14ac:dyDescent="0.25">
      <c r="A9120" s="4">
        <v>9115</v>
      </c>
      <c r="B9120" s="3" t="str">
        <f>"00674557"</f>
        <v>00674557</v>
      </c>
    </row>
    <row r="9121" spans="1:2" x14ac:dyDescent="0.25">
      <c r="A9121" s="4">
        <v>9116</v>
      </c>
      <c r="B9121" s="3" t="str">
        <f>"00674587"</f>
        <v>00674587</v>
      </c>
    </row>
    <row r="9122" spans="1:2" x14ac:dyDescent="0.25">
      <c r="A9122" s="4">
        <v>9117</v>
      </c>
      <c r="B9122" s="3" t="str">
        <f>"00674592"</f>
        <v>00674592</v>
      </c>
    </row>
    <row r="9123" spans="1:2" x14ac:dyDescent="0.25">
      <c r="A9123" s="4">
        <v>9118</v>
      </c>
      <c r="B9123" s="3" t="str">
        <f>"00674593"</f>
        <v>00674593</v>
      </c>
    </row>
    <row r="9124" spans="1:2" x14ac:dyDescent="0.25">
      <c r="A9124" s="4">
        <v>9119</v>
      </c>
      <c r="B9124" s="3" t="str">
        <f>"00674605"</f>
        <v>00674605</v>
      </c>
    </row>
    <row r="9125" spans="1:2" x14ac:dyDescent="0.25">
      <c r="A9125" s="4">
        <v>9120</v>
      </c>
      <c r="B9125" s="3" t="str">
        <f>"00674608"</f>
        <v>00674608</v>
      </c>
    </row>
    <row r="9126" spans="1:2" x14ac:dyDescent="0.25">
      <c r="A9126" s="4">
        <v>9121</v>
      </c>
      <c r="B9126" s="3" t="str">
        <f>"00674619"</f>
        <v>00674619</v>
      </c>
    </row>
    <row r="9127" spans="1:2" x14ac:dyDescent="0.25">
      <c r="A9127" s="4">
        <v>9122</v>
      </c>
      <c r="B9127" s="3" t="str">
        <f>"00674621"</f>
        <v>00674621</v>
      </c>
    </row>
    <row r="9128" spans="1:2" x14ac:dyDescent="0.25">
      <c r="A9128" s="4">
        <v>9123</v>
      </c>
      <c r="B9128" s="3" t="str">
        <f>"00674628"</f>
        <v>00674628</v>
      </c>
    </row>
    <row r="9129" spans="1:2" x14ac:dyDescent="0.25">
      <c r="A9129" s="4">
        <v>9124</v>
      </c>
      <c r="B9129" s="3" t="str">
        <f>"00674634"</f>
        <v>00674634</v>
      </c>
    </row>
    <row r="9130" spans="1:2" x14ac:dyDescent="0.25">
      <c r="A9130" s="4">
        <v>9125</v>
      </c>
      <c r="B9130" s="3" t="str">
        <f>"00674635"</f>
        <v>00674635</v>
      </c>
    </row>
    <row r="9131" spans="1:2" x14ac:dyDescent="0.25">
      <c r="A9131" s="4">
        <v>9126</v>
      </c>
      <c r="B9131" s="3" t="str">
        <f>"00674642"</f>
        <v>00674642</v>
      </c>
    </row>
    <row r="9132" spans="1:2" x14ac:dyDescent="0.25">
      <c r="A9132" s="4">
        <v>9127</v>
      </c>
      <c r="B9132" s="3" t="str">
        <f>"00674649"</f>
        <v>00674649</v>
      </c>
    </row>
    <row r="9133" spans="1:2" x14ac:dyDescent="0.25">
      <c r="A9133" s="4">
        <v>9128</v>
      </c>
      <c r="B9133" s="3" t="str">
        <f>"00674656"</f>
        <v>00674656</v>
      </c>
    </row>
    <row r="9134" spans="1:2" x14ac:dyDescent="0.25">
      <c r="A9134" s="4">
        <v>9129</v>
      </c>
      <c r="B9134" s="3" t="str">
        <f>"00674671"</f>
        <v>00674671</v>
      </c>
    </row>
    <row r="9135" spans="1:2" x14ac:dyDescent="0.25">
      <c r="A9135" s="4">
        <v>9130</v>
      </c>
      <c r="B9135" s="3" t="str">
        <f>"00674679"</f>
        <v>00674679</v>
      </c>
    </row>
    <row r="9136" spans="1:2" x14ac:dyDescent="0.25">
      <c r="A9136" s="4">
        <v>9131</v>
      </c>
      <c r="B9136" s="3" t="str">
        <f>"00674688"</f>
        <v>00674688</v>
      </c>
    </row>
    <row r="9137" spans="1:2" x14ac:dyDescent="0.25">
      <c r="A9137" s="4">
        <v>9132</v>
      </c>
      <c r="B9137" s="3" t="str">
        <f>"00674700"</f>
        <v>00674700</v>
      </c>
    </row>
    <row r="9138" spans="1:2" x14ac:dyDescent="0.25">
      <c r="A9138" s="4">
        <v>9133</v>
      </c>
      <c r="B9138" s="3" t="str">
        <f>"00674702"</f>
        <v>00674702</v>
      </c>
    </row>
    <row r="9139" spans="1:2" x14ac:dyDescent="0.25">
      <c r="A9139" s="4">
        <v>9134</v>
      </c>
      <c r="B9139" s="3" t="str">
        <f>"00674707"</f>
        <v>00674707</v>
      </c>
    </row>
    <row r="9140" spans="1:2" x14ac:dyDescent="0.25">
      <c r="A9140" s="4">
        <v>9135</v>
      </c>
      <c r="B9140" s="3" t="str">
        <f>"00674709"</f>
        <v>00674709</v>
      </c>
    </row>
    <row r="9141" spans="1:2" x14ac:dyDescent="0.25">
      <c r="A9141" s="4">
        <v>9136</v>
      </c>
      <c r="B9141" s="3" t="str">
        <f>"00674718"</f>
        <v>00674718</v>
      </c>
    </row>
    <row r="9142" spans="1:2" x14ac:dyDescent="0.25">
      <c r="A9142" s="4">
        <v>9137</v>
      </c>
      <c r="B9142" s="3" t="str">
        <f>"00674722"</f>
        <v>00674722</v>
      </c>
    </row>
    <row r="9143" spans="1:2" x14ac:dyDescent="0.25">
      <c r="A9143" s="4">
        <v>9138</v>
      </c>
      <c r="B9143" s="3" t="str">
        <f>"00674732"</f>
        <v>00674732</v>
      </c>
    </row>
    <row r="9144" spans="1:2" x14ac:dyDescent="0.25">
      <c r="A9144" s="4">
        <v>9139</v>
      </c>
      <c r="B9144" s="3" t="str">
        <f>"00674733"</f>
        <v>00674733</v>
      </c>
    </row>
    <row r="9145" spans="1:2" x14ac:dyDescent="0.25">
      <c r="A9145" s="4">
        <v>9140</v>
      </c>
      <c r="B9145" s="3" t="str">
        <f>"00674739"</f>
        <v>00674739</v>
      </c>
    </row>
    <row r="9146" spans="1:2" x14ac:dyDescent="0.25">
      <c r="A9146" s="4">
        <v>9141</v>
      </c>
      <c r="B9146" s="3" t="str">
        <f>"00674749"</f>
        <v>00674749</v>
      </c>
    </row>
    <row r="9147" spans="1:2" x14ac:dyDescent="0.25">
      <c r="A9147" s="4">
        <v>9142</v>
      </c>
      <c r="B9147" s="3" t="str">
        <f>"00674754"</f>
        <v>00674754</v>
      </c>
    </row>
    <row r="9148" spans="1:2" x14ac:dyDescent="0.25">
      <c r="A9148" s="4">
        <v>9143</v>
      </c>
      <c r="B9148" s="3" t="str">
        <f>"00674756"</f>
        <v>00674756</v>
      </c>
    </row>
    <row r="9149" spans="1:2" x14ac:dyDescent="0.25">
      <c r="A9149" s="4">
        <v>9144</v>
      </c>
      <c r="B9149" s="3" t="str">
        <f>"00674764"</f>
        <v>00674764</v>
      </c>
    </row>
    <row r="9150" spans="1:2" x14ac:dyDescent="0.25">
      <c r="A9150" s="4">
        <v>9145</v>
      </c>
      <c r="B9150" s="3" t="str">
        <f>"00674768"</f>
        <v>00674768</v>
      </c>
    </row>
    <row r="9151" spans="1:2" x14ac:dyDescent="0.25">
      <c r="A9151" s="4">
        <v>9146</v>
      </c>
      <c r="B9151" s="3" t="str">
        <f>"00674786"</f>
        <v>00674786</v>
      </c>
    </row>
    <row r="9152" spans="1:2" x14ac:dyDescent="0.25">
      <c r="A9152" s="4">
        <v>9147</v>
      </c>
      <c r="B9152" s="3" t="str">
        <f>"00674789"</f>
        <v>00674789</v>
      </c>
    </row>
    <row r="9153" spans="1:2" x14ac:dyDescent="0.25">
      <c r="A9153" s="4">
        <v>9148</v>
      </c>
      <c r="B9153" s="3" t="str">
        <f>"00674792"</f>
        <v>00674792</v>
      </c>
    </row>
    <row r="9154" spans="1:2" x14ac:dyDescent="0.25">
      <c r="A9154" s="4">
        <v>9149</v>
      </c>
      <c r="B9154" s="3" t="str">
        <f>"00674793"</f>
        <v>00674793</v>
      </c>
    </row>
    <row r="9155" spans="1:2" x14ac:dyDescent="0.25">
      <c r="A9155" s="4">
        <v>9150</v>
      </c>
      <c r="B9155" s="3" t="str">
        <f>"00674798"</f>
        <v>00674798</v>
      </c>
    </row>
    <row r="9156" spans="1:2" x14ac:dyDescent="0.25">
      <c r="A9156" s="4">
        <v>9151</v>
      </c>
      <c r="B9156" s="3" t="str">
        <f>"00674799"</f>
        <v>00674799</v>
      </c>
    </row>
    <row r="9157" spans="1:2" x14ac:dyDescent="0.25">
      <c r="A9157" s="4">
        <v>9152</v>
      </c>
      <c r="B9157" s="3" t="str">
        <f>"00674810"</f>
        <v>00674810</v>
      </c>
    </row>
    <row r="9158" spans="1:2" x14ac:dyDescent="0.25">
      <c r="A9158" s="4">
        <v>9153</v>
      </c>
      <c r="B9158" s="3" t="str">
        <f>"00674831"</f>
        <v>00674831</v>
      </c>
    </row>
    <row r="9159" spans="1:2" x14ac:dyDescent="0.25">
      <c r="A9159" s="4">
        <v>9154</v>
      </c>
      <c r="B9159" s="3" t="str">
        <f>"00674836"</f>
        <v>00674836</v>
      </c>
    </row>
    <row r="9160" spans="1:2" x14ac:dyDescent="0.25">
      <c r="A9160" s="4">
        <v>9155</v>
      </c>
      <c r="B9160" s="3" t="str">
        <f>"00674852"</f>
        <v>00674852</v>
      </c>
    </row>
    <row r="9161" spans="1:2" x14ac:dyDescent="0.25">
      <c r="A9161" s="4">
        <v>9156</v>
      </c>
      <c r="B9161" s="3" t="str">
        <f>"00674870"</f>
        <v>00674870</v>
      </c>
    </row>
    <row r="9162" spans="1:2" x14ac:dyDescent="0.25">
      <c r="A9162" s="4">
        <v>9157</v>
      </c>
      <c r="B9162" s="3" t="str">
        <f>"00674884"</f>
        <v>00674884</v>
      </c>
    </row>
    <row r="9163" spans="1:2" x14ac:dyDescent="0.25">
      <c r="A9163" s="4">
        <v>9158</v>
      </c>
      <c r="B9163" s="3" t="str">
        <f>"00674898"</f>
        <v>00674898</v>
      </c>
    </row>
    <row r="9164" spans="1:2" x14ac:dyDescent="0.25">
      <c r="A9164" s="4">
        <v>9159</v>
      </c>
      <c r="B9164" s="3" t="str">
        <f>"00674901"</f>
        <v>00674901</v>
      </c>
    </row>
    <row r="9165" spans="1:2" x14ac:dyDescent="0.25">
      <c r="A9165" s="4">
        <v>9160</v>
      </c>
      <c r="B9165" s="3" t="str">
        <f>"00674917"</f>
        <v>00674917</v>
      </c>
    </row>
    <row r="9166" spans="1:2" x14ac:dyDescent="0.25">
      <c r="A9166" s="4">
        <v>9161</v>
      </c>
      <c r="B9166" s="3" t="str">
        <f>"00674924"</f>
        <v>00674924</v>
      </c>
    </row>
    <row r="9167" spans="1:2" x14ac:dyDescent="0.25">
      <c r="A9167" s="4">
        <v>9162</v>
      </c>
      <c r="B9167" s="3" t="str">
        <f>"00674950"</f>
        <v>00674950</v>
      </c>
    </row>
    <row r="9168" spans="1:2" x14ac:dyDescent="0.25">
      <c r="A9168" s="4">
        <v>9163</v>
      </c>
      <c r="B9168" s="3" t="str">
        <f>"00674961"</f>
        <v>00674961</v>
      </c>
    </row>
    <row r="9169" spans="1:2" x14ac:dyDescent="0.25">
      <c r="A9169" s="4">
        <v>9164</v>
      </c>
      <c r="B9169" s="3" t="str">
        <f>"00674977"</f>
        <v>00674977</v>
      </c>
    </row>
    <row r="9170" spans="1:2" x14ac:dyDescent="0.25">
      <c r="A9170" s="4">
        <v>9165</v>
      </c>
      <c r="B9170" s="3" t="str">
        <f>"00674992"</f>
        <v>00674992</v>
      </c>
    </row>
    <row r="9171" spans="1:2" x14ac:dyDescent="0.25">
      <c r="A9171" s="4">
        <v>9166</v>
      </c>
      <c r="B9171" s="3" t="str">
        <f>"00675004"</f>
        <v>00675004</v>
      </c>
    </row>
    <row r="9172" spans="1:2" x14ac:dyDescent="0.25">
      <c r="A9172" s="4">
        <v>9167</v>
      </c>
      <c r="B9172" s="3" t="str">
        <f>"00675008"</f>
        <v>00675008</v>
      </c>
    </row>
    <row r="9173" spans="1:2" x14ac:dyDescent="0.25">
      <c r="A9173" s="4">
        <v>9168</v>
      </c>
      <c r="B9173" s="3" t="str">
        <f>"00675022"</f>
        <v>00675022</v>
      </c>
    </row>
    <row r="9174" spans="1:2" x14ac:dyDescent="0.25">
      <c r="A9174" s="4">
        <v>9169</v>
      </c>
      <c r="B9174" s="3" t="str">
        <f>"00675024"</f>
        <v>00675024</v>
      </c>
    </row>
    <row r="9175" spans="1:2" x14ac:dyDescent="0.25">
      <c r="A9175" s="4">
        <v>9170</v>
      </c>
      <c r="B9175" s="3" t="str">
        <f>"00675030"</f>
        <v>00675030</v>
      </c>
    </row>
    <row r="9176" spans="1:2" x14ac:dyDescent="0.25">
      <c r="A9176" s="4">
        <v>9171</v>
      </c>
      <c r="B9176" s="3" t="str">
        <f>"00675051"</f>
        <v>00675051</v>
      </c>
    </row>
    <row r="9177" spans="1:2" x14ac:dyDescent="0.25">
      <c r="A9177" s="4">
        <v>9172</v>
      </c>
      <c r="B9177" s="3" t="str">
        <f>"00675069"</f>
        <v>00675069</v>
      </c>
    </row>
    <row r="9178" spans="1:2" x14ac:dyDescent="0.25">
      <c r="A9178" s="4">
        <v>9173</v>
      </c>
      <c r="B9178" s="3" t="str">
        <f>"00675076"</f>
        <v>00675076</v>
      </c>
    </row>
    <row r="9179" spans="1:2" x14ac:dyDescent="0.25">
      <c r="A9179" s="4">
        <v>9174</v>
      </c>
      <c r="B9179" s="3" t="str">
        <f>"00675103"</f>
        <v>00675103</v>
      </c>
    </row>
    <row r="9180" spans="1:2" x14ac:dyDescent="0.25">
      <c r="A9180" s="4">
        <v>9175</v>
      </c>
      <c r="B9180" s="3" t="str">
        <f>"00675106"</f>
        <v>00675106</v>
      </c>
    </row>
    <row r="9181" spans="1:2" x14ac:dyDescent="0.25">
      <c r="A9181" s="4">
        <v>9176</v>
      </c>
      <c r="B9181" s="3" t="str">
        <f>"00675109"</f>
        <v>00675109</v>
      </c>
    </row>
    <row r="9182" spans="1:2" x14ac:dyDescent="0.25">
      <c r="A9182" s="4">
        <v>9177</v>
      </c>
      <c r="B9182" s="3" t="str">
        <f>"00675111"</f>
        <v>00675111</v>
      </c>
    </row>
    <row r="9183" spans="1:2" x14ac:dyDescent="0.25">
      <c r="A9183" s="4">
        <v>9178</v>
      </c>
      <c r="B9183" s="3" t="str">
        <f>"00675134"</f>
        <v>00675134</v>
      </c>
    </row>
    <row r="9184" spans="1:2" x14ac:dyDescent="0.25">
      <c r="A9184" s="4">
        <v>9179</v>
      </c>
      <c r="B9184" s="3" t="str">
        <f>"00675136"</f>
        <v>00675136</v>
      </c>
    </row>
    <row r="9185" spans="1:2" x14ac:dyDescent="0.25">
      <c r="A9185" s="4">
        <v>9180</v>
      </c>
      <c r="B9185" s="3" t="str">
        <f>"00675147"</f>
        <v>00675147</v>
      </c>
    </row>
    <row r="9186" spans="1:2" x14ac:dyDescent="0.25">
      <c r="A9186" s="4">
        <v>9181</v>
      </c>
      <c r="B9186" s="3" t="str">
        <f>"00675150"</f>
        <v>00675150</v>
      </c>
    </row>
    <row r="9187" spans="1:2" x14ac:dyDescent="0.25">
      <c r="A9187" s="4">
        <v>9182</v>
      </c>
      <c r="B9187" s="3" t="str">
        <f>"00675158"</f>
        <v>00675158</v>
      </c>
    </row>
    <row r="9188" spans="1:2" x14ac:dyDescent="0.25">
      <c r="A9188" s="4">
        <v>9183</v>
      </c>
      <c r="B9188" s="3" t="str">
        <f>"00675183"</f>
        <v>00675183</v>
      </c>
    </row>
    <row r="9189" spans="1:2" x14ac:dyDescent="0.25">
      <c r="A9189" s="4">
        <v>9184</v>
      </c>
      <c r="B9189" s="3" t="str">
        <f>"00675196"</f>
        <v>00675196</v>
      </c>
    </row>
    <row r="9190" spans="1:2" x14ac:dyDescent="0.25">
      <c r="A9190" s="4">
        <v>9185</v>
      </c>
      <c r="B9190" s="3" t="str">
        <f>"00675197"</f>
        <v>00675197</v>
      </c>
    </row>
    <row r="9191" spans="1:2" x14ac:dyDescent="0.25">
      <c r="A9191" s="4">
        <v>9186</v>
      </c>
      <c r="B9191" s="3" t="str">
        <f>"00675205"</f>
        <v>00675205</v>
      </c>
    </row>
    <row r="9192" spans="1:2" x14ac:dyDescent="0.25">
      <c r="A9192" s="4">
        <v>9187</v>
      </c>
      <c r="B9192" s="3" t="str">
        <f>"00675218"</f>
        <v>00675218</v>
      </c>
    </row>
    <row r="9193" spans="1:2" x14ac:dyDescent="0.25">
      <c r="A9193" s="4">
        <v>9188</v>
      </c>
      <c r="B9193" s="3" t="str">
        <f>"00675255"</f>
        <v>00675255</v>
      </c>
    </row>
    <row r="9194" spans="1:2" x14ac:dyDescent="0.25">
      <c r="A9194" s="4">
        <v>9189</v>
      </c>
      <c r="B9194" s="3" t="str">
        <f>"00675261"</f>
        <v>00675261</v>
      </c>
    </row>
    <row r="9195" spans="1:2" x14ac:dyDescent="0.25">
      <c r="A9195" s="4">
        <v>9190</v>
      </c>
      <c r="B9195" s="3" t="str">
        <f>"00675263"</f>
        <v>00675263</v>
      </c>
    </row>
    <row r="9196" spans="1:2" x14ac:dyDescent="0.25">
      <c r="A9196" s="4">
        <v>9191</v>
      </c>
      <c r="B9196" s="3" t="str">
        <f>"00675271"</f>
        <v>00675271</v>
      </c>
    </row>
    <row r="9197" spans="1:2" x14ac:dyDescent="0.25">
      <c r="A9197" s="4">
        <v>9192</v>
      </c>
      <c r="B9197" s="3" t="str">
        <f>"00675274"</f>
        <v>00675274</v>
      </c>
    </row>
    <row r="9198" spans="1:2" x14ac:dyDescent="0.25">
      <c r="A9198" s="4">
        <v>9193</v>
      </c>
      <c r="B9198" s="3" t="str">
        <f>"00675287"</f>
        <v>00675287</v>
      </c>
    </row>
    <row r="9199" spans="1:2" x14ac:dyDescent="0.25">
      <c r="A9199" s="4">
        <v>9194</v>
      </c>
      <c r="B9199" s="3" t="str">
        <f>"00675303"</f>
        <v>00675303</v>
      </c>
    </row>
    <row r="9200" spans="1:2" x14ac:dyDescent="0.25">
      <c r="A9200" s="4">
        <v>9195</v>
      </c>
      <c r="B9200" s="3" t="str">
        <f>"00675310"</f>
        <v>00675310</v>
      </c>
    </row>
    <row r="9201" spans="1:2" x14ac:dyDescent="0.25">
      <c r="A9201" s="4">
        <v>9196</v>
      </c>
      <c r="B9201" s="3" t="str">
        <f>"00675316"</f>
        <v>00675316</v>
      </c>
    </row>
    <row r="9202" spans="1:2" x14ac:dyDescent="0.25">
      <c r="A9202" s="4">
        <v>9197</v>
      </c>
      <c r="B9202" s="3" t="str">
        <f>"00675323"</f>
        <v>00675323</v>
      </c>
    </row>
    <row r="9203" spans="1:2" x14ac:dyDescent="0.25">
      <c r="A9203" s="4">
        <v>9198</v>
      </c>
      <c r="B9203" s="3" t="str">
        <f>"00675328"</f>
        <v>00675328</v>
      </c>
    </row>
    <row r="9204" spans="1:2" x14ac:dyDescent="0.25">
      <c r="A9204" s="4">
        <v>9199</v>
      </c>
      <c r="B9204" s="3" t="str">
        <f>"00675329"</f>
        <v>00675329</v>
      </c>
    </row>
    <row r="9205" spans="1:2" x14ac:dyDescent="0.25">
      <c r="A9205" s="4">
        <v>9200</v>
      </c>
      <c r="B9205" s="3" t="str">
        <f>"00675330"</f>
        <v>00675330</v>
      </c>
    </row>
    <row r="9206" spans="1:2" x14ac:dyDescent="0.25">
      <c r="A9206" s="4">
        <v>9201</v>
      </c>
      <c r="B9206" s="3" t="str">
        <f>"00675345"</f>
        <v>00675345</v>
      </c>
    </row>
    <row r="9207" spans="1:2" x14ac:dyDescent="0.25">
      <c r="A9207" s="4">
        <v>9202</v>
      </c>
      <c r="B9207" s="3" t="str">
        <f>"00675347"</f>
        <v>00675347</v>
      </c>
    </row>
    <row r="9208" spans="1:2" x14ac:dyDescent="0.25">
      <c r="A9208" s="4">
        <v>9203</v>
      </c>
      <c r="B9208" s="3" t="str">
        <f>"00675356"</f>
        <v>00675356</v>
      </c>
    </row>
    <row r="9209" spans="1:2" x14ac:dyDescent="0.25">
      <c r="A9209" s="4">
        <v>9204</v>
      </c>
      <c r="B9209" s="3" t="str">
        <f>"00675357"</f>
        <v>00675357</v>
      </c>
    </row>
    <row r="9210" spans="1:2" x14ac:dyDescent="0.25">
      <c r="A9210" s="4">
        <v>9205</v>
      </c>
      <c r="B9210" s="3" t="str">
        <f>"00675360"</f>
        <v>00675360</v>
      </c>
    </row>
    <row r="9211" spans="1:2" x14ac:dyDescent="0.25">
      <c r="A9211" s="4">
        <v>9206</v>
      </c>
      <c r="B9211" s="3" t="str">
        <f>"00675376"</f>
        <v>00675376</v>
      </c>
    </row>
    <row r="9212" spans="1:2" x14ac:dyDescent="0.25">
      <c r="A9212" s="4">
        <v>9207</v>
      </c>
      <c r="B9212" s="3" t="str">
        <f>"00675382"</f>
        <v>00675382</v>
      </c>
    </row>
    <row r="9213" spans="1:2" x14ac:dyDescent="0.25">
      <c r="A9213" s="4">
        <v>9208</v>
      </c>
      <c r="B9213" s="3" t="str">
        <f>"00675383"</f>
        <v>00675383</v>
      </c>
    </row>
    <row r="9214" spans="1:2" x14ac:dyDescent="0.25">
      <c r="A9214" s="4">
        <v>9209</v>
      </c>
      <c r="B9214" s="3" t="str">
        <f>"00675388"</f>
        <v>00675388</v>
      </c>
    </row>
    <row r="9215" spans="1:2" x14ac:dyDescent="0.25">
      <c r="A9215" s="4">
        <v>9210</v>
      </c>
      <c r="B9215" s="3" t="str">
        <f>"00675405"</f>
        <v>00675405</v>
      </c>
    </row>
    <row r="9216" spans="1:2" x14ac:dyDescent="0.25">
      <c r="A9216" s="4">
        <v>9211</v>
      </c>
      <c r="B9216" s="3" t="str">
        <f>"00675409"</f>
        <v>00675409</v>
      </c>
    </row>
    <row r="9217" spans="1:2" x14ac:dyDescent="0.25">
      <c r="A9217" s="4">
        <v>9212</v>
      </c>
      <c r="B9217" s="3" t="str">
        <f>"00675416"</f>
        <v>00675416</v>
      </c>
    </row>
    <row r="9218" spans="1:2" x14ac:dyDescent="0.25">
      <c r="A9218" s="4">
        <v>9213</v>
      </c>
      <c r="B9218" s="3" t="str">
        <f>"00675447"</f>
        <v>00675447</v>
      </c>
    </row>
    <row r="9219" spans="1:2" x14ac:dyDescent="0.25">
      <c r="A9219" s="4">
        <v>9214</v>
      </c>
      <c r="B9219" s="3" t="str">
        <f>"00675454"</f>
        <v>00675454</v>
      </c>
    </row>
    <row r="9220" spans="1:2" x14ac:dyDescent="0.25">
      <c r="A9220" s="4">
        <v>9215</v>
      </c>
      <c r="B9220" s="3" t="str">
        <f>"00675458"</f>
        <v>00675458</v>
      </c>
    </row>
    <row r="9221" spans="1:2" x14ac:dyDescent="0.25">
      <c r="A9221" s="4">
        <v>9216</v>
      </c>
      <c r="B9221" s="3" t="str">
        <f>"00675460"</f>
        <v>00675460</v>
      </c>
    </row>
    <row r="9222" spans="1:2" x14ac:dyDescent="0.25">
      <c r="A9222" s="4">
        <v>9217</v>
      </c>
      <c r="B9222" s="3" t="str">
        <f>"00675482"</f>
        <v>00675482</v>
      </c>
    </row>
    <row r="9223" spans="1:2" x14ac:dyDescent="0.25">
      <c r="A9223" s="4">
        <v>9218</v>
      </c>
      <c r="B9223" s="3" t="str">
        <f>"00675503"</f>
        <v>00675503</v>
      </c>
    </row>
    <row r="9224" spans="1:2" x14ac:dyDescent="0.25">
      <c r="A9224" s="4">
        <v>9219</v>
      </c>
      <c r="B9224" s="3" t="str">
        <f>"00675515"</f>
        <v>00675515</v>
      </c>
    </row>
    <row r="9225" spans="1:2" x14ac:dyDescent="0.25">
      <c r="A9225" s="4">
        <v>9220</v>
      </c>
      <c r="B9225" s="3" t="str">
        <f>"00675530"</f>
        <v>00675530</v>
      </c>
    </row>
    <row r="9226" spans="1:2" x14ac:dyDescent="0.25">
      <c r="A9226" s="4">
        <v>9221</v>
      </c>
      <c r="B9226" s="3" t="str">
        <f>"00675537"</f>
        <v>00675537</v>
      </c>
    </row>
    <row r="9227" spans="1:2" x14ac:dyDescent="0.25">
      <c r="A9227" s="4">
        <v>9222</v>
      </c>
      <c r="B9227" s="3" t="str">
        <f>"00675549"</f>
        <v>00675549</v>
      </c>
    </row>
    <row r="9228" spans="1:2" x14ac:dyDescent="0.25">
      <c r="A9228" s="4">
        <v>9223</v>
      </c>
      <c r="B9228" s="3" t="str">
        <f>"00675562"</f>
        <v>00675562</v>
      </c>
    </row>
    <row r="9229" spans="1:2" x14ac:dyDescent="0.25">
      <c r="A9229" s="4">
        <v>9224</v>
      </c>
      <c r="B9229" s="3" t="str">
        <f>"00675568"</f>
        <v>00675568</v>
      </c>
    </row>
    <row r="9230" spans="1:2" x14ac:dyDescent="0.25">
      <c r="A9230" s="4">
        <v>9225</v>
      </c>
      <c r="B9230" s="3" t="str">
        <f>"00675571"</f>
        <v>00675571</v>
      </c>
    </row>
    <row r="9231" spans="1:2" x14ac:dyDescent="0.25">
      <c r="A9231" s="4">
        <v>9226</v>
      </c>
      <c r="B9231" s="3" t="str">
        <f>"00675573"</f>
        <v>00675573</v>
      </c>
    </row>
    <row r="9232" spans="1:2" x14ac:dyDescent="0.25">
      <c r="A9232" s="4">
        <v>9227</v>
      </c>
      <c r="B9232" s="3" t="str">
        <f>"00675584"</f>
        <v>00675584</v>
      </c>
    </row>
    <row r="9233" spans="1:2" x14ac:dyDescent="0.25">
      <c r="A9233" s="4">
        <v>9228</v>
      </c>
      <c r="B9233" s="3" t="str">
        <f>"00675586"</f>
        <v>00675586</v>
      </c>
    </row>
    <row r="9234" spans="1:2" x14ac:dyDescent="0.25">
      <c r="A9234" s="4">
        <v>9229</v>
      </c>
      <c r="B9234" s="3" t="str">
        <f>"00675595"</f>
        <v>00675595</v>
      </c>
    </row>
    <row r="9235" spans="1:2" x14ac:dyDescent="0.25">
      <c r="A9235" s="4">
        <v>9230</v>
      </c>
      <c r="B9235" s="3" t="str">
        <f>"00675611"</f>
        <v>00675611</v>
      </c>
    </row>
    <row r="9236" spans="1:2" x14ac:dyDescent="0.25">
      <c r="A9236" s="4">
        <v>9231</v>
      </c>
      <c r="B9236" s="3" t="str">
        <f>"00675618"</f>
        <v>00675618</v>
      </c>
    </row>
    <row r="9237" spans="1:2" x14ac:dyDescent="0.25">
      <c r="A9237" s="4">
        <v>9232</v>
      </c>
      <c r="B9237" s="3" t="str">
        <f>"00675625"</f>
        <v>00675625</v>
      </c>
    </row>
    <row r="9238" spans="1:2" x14ac:dyDescent="0.25">
      <c r="A9238" s="4">
        <v>9233</v>
      </c>
      <c r="B9238" s="3" t="str">
        <f>"00675652"</f>
        <v>00675652</v>
      </c>
    </row>
    <row r="9239" spans="1:2" x14ac:dyDescent="0.25">
      <c r="A9239" s="4">
        <v>9234</v>
      </c>
      <c r="B9239" s="3" t="str">
        <f>"00675657"</f>
        <v>00675657</v>
      </c>
    </row>
    <row r="9240" spans="1:2" x14ac:dyDescent="0.25">
      <c r="A9240" s="4">
        <v>9235</v>
      </c>
      <c r="B9240" s="3" t="str">
        <f>"00675668"</f>
        <v>00675668</v>
      </c>
    </row>
    <row r="9241" spans="1:2" x14ac:dyDescent="0.25">
      <c r="A9241" s="4">
        <v>9236</v>
      </c>
      <c r="B9241" s="3" t="str">
        <f>"00675674"</f>
        <v>00675674</v>
      </c>
    </row>
    <row r="9242" spans="1:2" x14ac:dyDescent="0.25">
      <c r="A9242" s="4">
        <v>9237</v>
      </c>
      <c r="B9242" s="3" t="str">
        <f>"00675684"</f>
        <v>00675684</v>
      </c>
    </row>
    <row r="9243" spans="1:2" x14ac:dyDescent="0.25">
      <c r="A9243" s="4">
        <v>9238</v>
      </c>
      <c r="B9243" s="3" t="str">
        <f>"00675712"</f>
        <v>00675712</v>
      </c>
    </row>
    <row r="9244" spans="1:2" x14ac:dyDescent="0.25">
      <c r="A9244" s="4">
        <v>9239</v>
      </c>
      <c r="B9244" s="3" t="str">
        <f>"00675737"</f>
        <v>00675737</v>
      </c>
    </row>
    <row r="9245" spans="1:2" x14ac:dyDescent="0.25">
      <c r="A9245" s="4">
        <v>9240</v>
      </c>
      <c r="B9245" s="3" t="str">
        <f>"00675763"</f>
        <v>00675763</v>
      </c>
    </row>
    <row r="9246" spans="1:2" x14ac:dyDescent="0.25">
      <c r="A9246" s="4">
        <v>9241</v>
      </c>
      <c r="B9246" s="3" t="str">
        <f>"00675789"</f>
        <v>00675789</v>
      </c>
    </row>
    <row r="9247" spans="1:2" x14ac:dyDescent="0.25">
      <c r="A9247" s="4">
        <v>9242</v>
      </c>
      <c r="B9247" s="3" t="str">
        <f>"00675790"</f>
        <v>00675790</v>
      </c>
    </row>
    <row r="9248" spans="1:2" x14ac:dyDescent="0.25">
      <c r="A9248" s="4">
        <v>9243</v>
      </c>
      <c r="B9248" s="3" t="str">
        <f>"00675803"</f>
        <v>00675803</v>
      </c>
    </row>
    <row r="9249" spans="1:2" x14ac:dyDescent="0.25">
      <c r="A9249" s="4">
        <v>9244</v>
      </c>
      <c r="B9249" s="3" t="str">
        <f>"00675810"</f>
        <v>00675810</v>
      </c>
    </row>
    <row r="9250" spans="1:2" x14ac:dyDescent="0.25">
      <c r="A9250" s="4">
        <v>9245</v>
      </c>
      <c r="B9250" s="3" t="str">
        <f>"00675814"</f>
        <v>00675814</v>
      </c>
    </row>
    <row r="9251" spans="1:2" x14ac:dyDescent="0.25">
      <c r="A9251" s="4">
        <v>9246</v>
      </c>
      <c r="B9251" s="3" t="str">
        <f>"00675819"</f>
        <v>00675819</v>
      </c>
    </row>
    <row r="9252" spans="1:2" x14ac:dyDescent="0.25">
      <c r="A9252" s="4">
        <v>9247</v>
      </c>
      <c r="B9252" s="3" t="str">
        <f>"00675826"</f>
        <v>00675826</v>
      </c>
    </row>
    <row r="9253" spans="1:2" x14ac:dyDescent="0.25">
      <c r="A9253" s="4">
        <v>9248</v>
      </c>
      <c r="B9253" s="3" t="str">
        <f>"00675832"</f>
        <v>00675832</v>
      </c>
    </row>
    <row r="9254" spans="1:2" x14ac:dyDescent="0.25">
      <c r="A9254" s="4">
        <v>9249</v>
      </c>
      <c r="B9254" s="3" t="str">
        <f>"00675835"</f>
        <v>00675835</v>
      </c>
    </row>
    <row r="9255" spans="1:2" x14ac:dyDescent="0.25">
      <c r="A9255" s="4">
        <v>9250</v>
      </c>
      <c r="B9255" s="3" t="str">
        <f>"00675836"</f>
        <v>00675836</v>
      </c>
    </row>
    <row r="9256" spans="1:2" x14ac:dyDescent="0.25">
      <c r="A9256" s="4">
        <v>9251</v>
      </c>
      <c r="B9256" s="3" t="str">
        <f>"00675843"</f>
        <v>00675843</v>
      </c>
    </row>
    <row r="9257" spans="1:2" x14ac:dyDescent="0.25">
      <c r="A9257" s="4">
        <v>9252</v>
      </c>
      <c r="B9257" s="3" t="str">
        <f>"00675848"</f>
        <v>00675848</v>
      </c>
    </row>
    <row r="9258" spans="1:2" x14ac:dyDescent="0.25">
      <c r="A9258" s="4">
        <v>9253</v>
      </c>
      <c r="B9258" s="3" t="str">
        <f>"00675857"</f>
        <v>00675857</v>
      </c>
    </row>
    <row r="9259" spans="1:2" x14ac:dyDescent="0.25">
      <c r="A9259" s="4">
        <v>9254</v>
      </c>
      <c r="B9259" s="3" t="str">
        <f>"00675858"</f>
        <v>00675858</v>
      </c>
    </row>
    <row r="9260" spans="1:2" x14ac:dyDescent="0.25">
      <c r="A9260" s="4">
        <v>9255</v>
      </c>
      <c r="B9260" s="3" t="str">
        <f>"00675859"</f>
        <v>00675859</v>
      </c>
    </row>
    <row r="9261" spans="1:2" x14ac:dyDescent="0.25">
      <c r="A9261" s="4">
        <v>9256</v>
      </c>
      <c r="B9261" s="3" t="str">
        <f>"00675869"</f>
        <v>00675869</v>
      </c>
    </row>
    <row r="9262" spans="1:2" x14ac:dyDescent="0.25">
      <c r="A9262" s="4">
        <v>9257</v>
      </c>
      <c r="B9262" s="3" t="str">
        <f>"00675870"</f>
        <v>00675870</v>
      </c>
    </row>
    <row r="9263" spans="1:2" x14ac:dyDescent="0.25">
      <c r="A9263" s="4">
        <v>9258</v>
      </c>
      <c r="B9263" s="3" t="str">
        <f>"00675872"</f>
        <v>00675872</v>
      </c>
    </row>
    <row r="9264" spans="1:2" x14ac:dyDescent="0.25">
      <c r="A9264" s="4">
        <v>9259</v>
      </c>
      <c r="B9264" s="3" t="str">
        <f>"00675873"</f>
        <v>00675873</v>
      </c>
    </row>
    <row r="9265" spans="1:2" x14ac:dyDescent="0.25">
      <c r="A9265" s="4">
        <v>9260</v>
      </c>
      <c r="B9265" s="3" t="str">
        <f>"00675881"</f>
        <v>00675881</v>
      </c>
    </row>
    <row r="9266" spans="1:2" x14ac:dyDescent="0.25">
      <c r="A9266" s="4">
        <v>9261</v>
      </c>
      <c r="B9266" s="3" t="str">
        <f>"00675886"</f>
        <v>00675886</v>
      </c>
    </row>
    <row r="9267" spans="1:2" x14ac:dyDescent="0.25">
      <c r="A9267" s="4">
        <v>9262</v>
      </c>
      <c r="B9267" s="3" t="str">
        <f>"00675888"</f>
        <v>00675888</v>
      </c>
    </row>
    <row r="9268" spans="1:2" x14ac:dyDescent="0.25">
      <c r="A9268" s="4">
        <v>9263</v>
      </c>
      <c r="B9268" s="3" t="str">
        <f>"00675893"</f>
        <v>00675893</v>
      </c>
    </row>
    <row r="9269" spans="1:2" x14ac:dyDescent="0.25">
      <c r="A9269" s="4">
        <v>9264</v>
      </c>
      <c r="B9269" s="3" t="str">
        <f>"00675894"</f>
        <v>00675894</v>
      </c>
    </row>
    <row r="9270" spans="1:2" x14ac:dyDescent="0.25">
      <c r="A9270" s="4">
        <v>9265</v>
      </c>
      <c r="B9270" s="3" t="str">
        <f>"00675895"</f>
        <v>00675895</v>
      </c>
    </row>
    <row r="9271" spans="1:2" x14ac:dyDescent="0.25">
      <c r="A9271" s="4">
        <v>9266</v>
      </c>
      <c r="B9271" s="3" t="str">
        <f>"00675910"</f>
        <v>00675910</v>
      </c>
    </row>
    <row r="9272" spans="1:2" x14ac:dyDescent="0.25">
      <c r="A9272" s="4">
        <v>9267</v>
      </c>
      <c r="B9272" s="3" t="str">
        <f>"00675916"</f>
        <v>00675916</v>
      </c>
    </row>
    <row r="9273" spans="1:2" x14ac:dyDescent="0.25">
      <c r="A9273" s="4">
        <v>9268</v>
      </c>
      <c r="B9273" s="3" t="str">
        <f>"00675926"</f>
        <v>00675926</v>
      </c>
    </row>
    <row r="9274" spans="1:2" x14ac:dyDescent="0.25">
      <c r="A9274" s="4">
        <v>9269</v>
      </c>
      <c r="B9274" s="3" t="str">
        <f>"00675944"</f>
        <v>00675944</v>
      </c>
    </row>
    <row r="9275" spans="1:2" x14ac:dyDescent="0.25">
      <c r="A9275" s="4">
        <v>9270</v>
      </c>
      <c r="B9275" s="3" t="str">
        <f>"00675950"</f>
        <v>00675950</v>
      </c>
    </row>
    <row r="9276" spans="1:2" x14ac:dyDescent="0.25">
      <c r="A9276" s="4">
        <v>9271</v>
      </c>
      <c r="B9276" s="3" t="str">
        <f>"00675977"</f>
        <v>00675977</v>
      </c>
    </row>
    <row r="9277" spans="1:2" x14ac:dyDescent="0.25">
      <c r="A9277" s="4">
        <v>9272</v>
      </c>
      <c r="B9277" s="3" t="str">
        <f>"00675979"</f>
        <v>00675979</v>
      </c>
    </row>
    <row r="9278" spans="1:2" x14ac:dyDescent="0.25">
      <c r="A9278" s="4">
        <v>9273</v>
      </c>
      <c r="B9278" s="3" t="str">
        <f>"00675990"</f>
        <v>00675990</v>
      </c>
    </row>
    <row r="9279" spans="1:2" x14ac:dyDescent="0.25">
      <c r="A9279" s="4">
        <v>9274</v>
      </c>
      <c r="B9279" s="3" t="str">
        <f>"00676021"</f>
        <v>00676021</v>
      </c>
    </row>
    <row r="9280" spans="1:2" x14ac:dyDescent="0.25">
      <c r="A9280" s="4">
        <v>9275</v>
      </c>
      <c r="B9280" s="3" t="str">
        <f>"00676032"</f>
        <v>00676032</v>
      </c>
    </row>
    <row r="9281" spans="1:2" x14ac:dyDescent="0.25">
      <c r="A9281" s="4">
        <v>9276</v>
      </c>
      <c r="B9281" s="3" t="str">
        <f>"00676034"</f>
        <v>00676034</v>
      </c>
    </row>
    <row r="9282" spans="1:2" x14ac:dyDescent="0.25">
      <c r="A9282" s="4">
        <v>9277</v>
      </c>
      <c r="B9282" s="3" t="str">
        <f>"00676044"</f>
        <v>00676044</v>
      </c>
    </row>
    <row r="9283" spans="1:2" x14ac:dyDescent="0.25">
      <c r="A9283" s="4">
        <v>9278</v>
      </c>
      <c r="B9283" s="3" t="str">
        <f>"00676048"</f>
        <v>00676048</v>
      </c>
    </row>
    <row r="9284" spans="1:2" x14ac:dyDescent="0.25">
      <c r="A9284" s="4">
        <v>9279</v>
      </c>
      <c r="B9284" s="3" t="str">
        <f>"00676052"</f>
        <v>00676052</v>
      </c>
    </row>
    <row r="9285" spans="1:2" x14ac:dyDescent="0.25">
      <c r="A9285" s="4">
        <v>9280</v>
      </c>
      <c r="B9285" s="3" t="str">
        <f>"00676059"</f>
        <v>00676059</v>
      </c>
    </row>
    <row r="9286" spans="1:2" x14ac:dyDescent="0.25">
      <c r="A9286" s="4">
        <v>9281</v>
      </c>
      <c r="B9286" s="3" t="str">
        <f>"00676067"</f>
        <v>00676067</v>
      </c>
    </row>
    <row r="9287" spans="1:2" x14ac:dyDescent="0.25">
      <c r="A9287" s="4">
        <v>9282</v>
      </c>
      <c r="B9287" s="3" t="str">
        <f>"00676068"</f>
        <v>00676068</v>
      </c>
    </row>
    <row r="9288" spans="1:2" x14ac:dyDescent="0.25">
      <c r="A9288" s="4">
        <v>9283</v>
      </c>
      <c r="B9288" s="3" t="str">
        <f>"00676069"</f>
        <v>00676069</v>
      </c>
    </row>
    <row r="9289" spans="1:2" x14ac:dyDescent="0.25">
      <c r="A9289" s="4">
        <v>9284</v>
      </c>
      <c r="B9289" s="3" t="str">
        <f>"00676088"</f>
        <v>00676088</v>
      </c>
    </row>
    <row r="9290" spans="1:2" x14ac:dyDescent="0.25">
      <c r="A9290" s="4">
        <v>9285</v>
      </c>
      <c r="B9290" s="3" t="str">
        <f>"00676091"</f>
        <v>00676091</v>
      </c>
    </row>
    <row r="9291" spans="1:2" x14ac:dyDescent="0.25">
      <c r="A9291" s="4">
        <v>9286</v>
      </c>
      <c r="B9291" s="3" t="str">
        <f>"00676093"</f>
        <v>00676093</v>
      </c>
    </row>
    <row r="9292" spans="1:2" x14ac:dyDescent="0.25">
      <c r="A9292" s="4">
        <v>9287</v>
      </c>
      <c r="B9292" s="3" t="str">
        <f>"00676102"</f>
        <v>00676102</v>
      </c>
    </row>
    <row r="9293" spans="1:2" x14ac:dyDescent="0.25">
      <c r="A9293" s="4">
        <v>9288</v>
      </c>
      <c r="B9293" s="3" t="str">
        <f>"00676104"</f>
        <v>00676104</v>
      </c>
    </row>
    <row r="9294" spans="1:2" x14ac:dyDescent="0.25">
      <c r="A9294" s="4">
        <v>9289</v>
      </c>
      <c r="B9294" s="3" t="str">
        <f>"00676114"</f>
        <v>00676114</v>
      </c>
    </row>
    <row r="9295" spans="1:2" x14ac:dyDescent="0.25">
      <c r="A9295" s="4">
        <v>9290</v>
      </c>
      <c r="B9295" s="3" t="str">
        <f>"00676117"</f>
        <v>00676117</v>
      </c>
    </row>
    <row r="9296" spans="1:2" x14ac:dyDescent="0.25">
      <c r="A9296" s="4">
        <v>9291</v>
      </c>
      <c r="B9296" s="3" t="str">
        <f>"00676119"</f>
        <v>00676119</v>
      </c>
    </row>
    <row r="9297" spans="1:2" x14ac:dyDescent="0.25">
      <c r="A9297" s="4">
        <v>9292</v>
      </c>
      <c r="B9297" s="3" t="str">
        <f>"00676128"</f>
        <v>00676128</v>
      </c>
    </row>
    <row r="9298" spans="1:2" x14ac:dyDescent="0.25">
      <c r="A9298" s="4">
        <v>9293</v>
      </c>
      <c r="B9298" s="3" t="str">
        <f>"00676137"</f>
        <v>00676137</v>
      </c>
    </row>
    <row r="9299" spans="1:2" x14ac:dyDescent="0.25">
      <c r="A9299" s="4">
        <v>9294</v>
      </c>
      <c r="B9299" s="3" t="str">
        <f>"00676139"</f>
        <v>00676139</v>
      </c>
    </row>
    <row r="9300" spans="1:2" x14ac:dyDescent="0.25">
      <c r="A9300" s="4">
        <v>9295</v>
      </c>
      <c r="B9300" s="3" t="str">
        <f>"00676154"</f>
        <v>00676154</v>
      </c>
    </row>
    <row r="9301" spans="1:2" x14ac:dyDescent="0.25">
      <c r="A9301" s="4">
        <v>9296</v>
      </c>
      <c r="B9301" s="3" t="str">
        <f>"00676158"</f>
        <v>00676158</v>
      </c>
    </row>
    <row r="9302" spans="1:2" x14ac:dyDescent="0.25">
      <c r="A9302" s="4">
        <v>9297</v>
      </c>
      <c r="B9302" s="3" t="str">
        <f>"00676174"</f>
        <v>00676174</v>
      </c>
    </row>
    <row r="9303" spans="1:2" x14ac:dyDescent="0.25">
      <c r="A9303" s="4">
        <v>9298</v>
      </c>
      <c r="B9303" s="3" t="str">
        <f>"00676211"</f>
        <v>00676211</v>
      </c>
    </row>
    <row r="9304" spans="1:2" x14ac:dyDescent="0.25">
      <c r="A9304" s="4">
        <v>9299</v>
      </c>
      <c r="B9304" s="3" t="str">
        <f>"00676223"</f>
        <v>00676223</v>
      </c>
    </row>
    <row r="9305" spans="1:2" x14ac:dyDescent="0.25">
      <c r="A9305" s="4">
        <v>9300</v>
      </c>
      <c r="B9305" s="3" t="str">
        <f>"00676232"</f>
        <v>00676232</v>
      </c>
    </row>
    <row r="9306" spans="1:2" x14ac:dyDescent="0.25">
      <c r="A9306" s="4">
        <v>9301</v>
      </c>
      <c r="B9306" s="3" t="str">
        <f>"00676240"</f>
        <v>00676240</v>
      </c>
    </row>
    <row r="9307" spans="1:2" x14ac:dyDescent="0.25">
      <c r="A9307" s="4">
        <v>9302</v>
      </c>
      <c r="B9307" s="3" t="str">
        <f>"00676259"</f>
        <v>00676259</v>
      </c>
    </row>
    <row r="9308" spans="1:2" x14ac:dyDescent="0.25">
      <c r="A9308" s="4">
        <v>9303</v>
      </c>
      <c r="B9308" s="3" t="str">
        <f>"00676272"</f>
        <v>00676272</v>
      </c>
    </row>
    <row r="9309" spans="1:2" x14ac:dyDescent="0.25">
      <c r="A9309" s="4">
        <v>9304</v>
      </c>
      <c r="B9309" s="3" t="str">
        <f>"00676295"</f>
        <v>00676295</v>
      </c>
    </row>
    <row r="9310" spans="1:2" x14ac:dyDescent="0.25">
      <c r="A9310" s="4">
        <v>9305</v>
      </c>
      <c r="B9310" s="3" t="str">
        <f>"00676300"</f>
        <v>00676300</v>
      </c>
    </row>
    <row r="9311" spans="1:2" x14ac:dyDescent="0.25">
      <c r="A9311" s="4">
        <v>9306</v>
      </c>
      <c r="B9311" s="3" t="str">
        <f>"00676310"</f>
        <v>00676310</v>
      </c>
    </row>
    <row r="9312" spans="1:2" x14ac:dyDescent="0.25">
      <c r="A9312" s="4">
        <v>9307</v>
      </c>
      <c r="B9312" s="3" t="str">
        <f>"00676313"</f>
        <v>00676313</v>
      </c>
    </row>
    <row r="9313" spans="1:2" x14ac:dyDescent="0.25">
      <c r="A9313" s="4">
        <v>9308</v>
      </c>
      <c r="B9313" s="3" t="str">
        <f>"00676334"</f>
        <v>00676334</v>
      </c>
    </row>
    <row r="9314" spans="1:2" x14ac:dyDescent="0.25">
      <c r="A9314" s="4">
        <v>9309</v>
      </c>
      <c r="B9314" s="3" t="str">
        <f>"00676357"</f>
        <v>00676357</v>
      </c>
    </row>
    <row r="9315" spans="1:2" x14ac:dyDescent="0.25">
      <c r="A9315" s="4">
        <v>9310</v>
      </c>
      <c r="B9315" s="3" t="str">
        <f>"00676364"</f>
        <v>00676364</v>
      </c>
    </row>
    <row r="9316" spans="1:2" x14ac:dyDescent="0.25">
      <c r="A9316" s="4">
        <v>9311</v>
      </c>
      <c r="B9316" s="3" t="str">
        <f>"00676377"</f>
        <v>00676377</v>
      </c>
    </row>
    <row r="9317" spans="1:2" x14ac:dyDescent="0.25">
      <c r="A9317" s="4">
        <v>9312</v>
      </c>
      <c r="B9317" s="3" t="str">
        <f>"00676378"</f>
        <v>00676378</v>
      </c>
    </row>
    <row r="9318" spans="1:2" x14ac:dyDescent="0.25">
      <c r="A9318" s="4">
        <v>9313</v>
      </c>
      <c r="B9318" s="3" t="str">
        <f>"00676395"</f>
        <v>00676395</v>
      </c>
    </row>
    <row r="9319" spans="1:2" x14ac:dyDescent="0.25">
      <c r="A9319" s="4">
        <v>9314</v>
      </c>
      <c r="B9319" s="3" t="str">
        <f>"00676397"</f>
        <v>00676397</v>
      </c>
    </row>
    <row r="9320" spans="1:2" x14ac:dyDescent="0.25">
      <c r="A9320" s="4">
        <v>9315</v>
      </c>
      <c r="B9320" s="3" t="str">
        <f>"00676404"</f>
        <v>00676404</v>
      </c>
    </row>
    <row r="9321" spans="1:2" x14ac:dyDescent="0.25">
      <c r="A9321" s="4">
        <v>9316</v>
      </c>
      <c r="B9321" s="3" t="str">
        <f>"00676414"</f>
        <v>00676414</v>
      </c>
    </row>
    <row r="9322" spans="1:2" x14ac:dyDescent="0.25">
      <c r="A9322" s="4">
        <v>9317</v>
      </c>
      <c r="B9322" s="3" t="str">
        <f>"00676418"</f>
        <v>00676418</v>
      </c>
    </row>
    <row r="9323" spans="1:2" x14ac:dyDescent="0.25">
      <c r="A9323" s="4">
        <v>9318</v>
      </c>
      <c r="B9323" s="3" t="str">
        <f>"00676420"</f>
        <v>00676420</v>
      </c>
    </row>
    <row r="9324" spans="1:2" x14ac:dyDescent="0.25">
      <c r="A9324" s="4">
        <v>9319</v>
      </c>
      <c r="B9324" s="3" t="str">
        <f>"00676430"</f>
        <v>00676430</v>
      </c>
    </row>
    <row r="9325" spans="1:2" x14ac:dyDescent="0.25">
      <c r="A9325" s="4">
        <v>9320</v>
      </c>
      <c r="B9325" s="3" t="str">
        <f>"00676434"</f>
        <v>00676434</v>
      </c>
    </row>
    <row r="9326" spans="1:2" x14ac:dyDescent="0.25">
      <c r="A9326" s="4">
        <v>9321</v>
      </c>
      <c r="B9326" s="3" t="str">
        <f>"00676436"</f>
        <v>00676436</v>
      </c>
    </row>
    <row r="9327" spans="1:2" x14ac:dyDescent="0.25">
      <c r="A9327" s="4">
        <v>9322</v>
      </c>
      <c r="B9327" s="3" t="str">
        <f>"00676449"</f>
        <v>00676449</v>
      </c>
    </row>
    <row r="9328" spans="1:2" x14ac:dyDescent="0.25">
      <c r="A9328" s="4">
        <v>9323</v>
      </c>
      <c r="B9328" s="3" t="str">
        <f>"00676450"</f>
        <v>00676450</v>
      </c>
    </row>
    <row r="9329" spans="1:2" x14ac:dyDescent="0.25">
      <c r="A9329" s="4">
        <v>9324</v>
      </c>
      <c r="B9329" s="3" t="str">
        <f>"00676467"</f>
        <v>00676467</v>
      </c>
    </row>
    <row r="9330" spans="1:2" x14ac:dyDescent="0.25">
      <c r="A9330" s="4">
        <v>9325</v>
      </c>
      <c r="B9330" s="3" t="str">
        <f>"00676476"</f>
        <v>00676476</v>
      </c>
    </row>
    <row r="9331" spans="1:2" x14ac:dyDescent="0.25">
      <c r="A9331" s="4">
        <v>9326</v>
      </c>
      <c r="B9331" s="3" t="str">
        <f>"00676503"</f>
        <v>00676503</v>
      </c>
    </row>
    <row r="9332" spans="1:2" x14ac:dyDescent="0.25">
      <c r="A9332" s="4">
        <v>9327</v>
      </c>
      <c r="B9332" s="3" t="str">
        <f>"00676508"</f>
        <v>00676508</v>
      </c>
    </row>
    <row r="9333" spans="1:2" x14ac:dyDescent="0.25">
      <c r="A9333" s="4">
        <v>9328</v>
      </c>
      <c r="B9333" s="3" t="str">
        <f>"00676512"</f>
        <v>00676512</v>
      </c>
    </row>
    <row r="9334" spans="1:2" x14ac:dyDescent="0.25">
      <c r="A9334" s="4">
        <v>9329</v>
      </c>
      <c r="B9334" s="3" t="str">
        <f>"00676515"</f>
        <v>00676515</v>
      </c>
    </row>
    <row r="9335" spans="1:2" x14ac:dyDescent="0.25">
      <c r="A9335" s="4">
        <v>9330</v>
      </c>
      <c r="B9335" s="3" t="str">
        <f>"00676517"</f>
        <v>00676517</v>
      </c>
    </row>
    <row r="9336" spans="1:2" x14ac:dyDescent="0.25">
      <c r="A9336" s="4">
        <v>9331</v>
      </c>
      <c r="B9336" s="3" t="str">
        <f>"00676526"</f>
        <v>00676526</v>
      </c>
    </row>
    <row r="9337" spans="1:2" x14ac:dyDescent="0.25">
      <c r="A9337" s="4">
        <v>9332</v>
      </c>
      <c r="B9337" s="3" t="str">
        <f>"00676529"</f>
        <v>00676529</v>
      </c>
    </row>
    <row r="9338" spans="1:2" x14ac:dyDescent="0.25">
      <c r="A9338" s="4">
        <v>9333</v>
      </c>
      <c r="B9338" s="3" t="str">
        <f>"00676537"</f>
        <v>00676537</v>
      </c>
    </row>
    <row r="9339" spans="1:2" x14ac:dyDescent="0.25">
      <c r="A9339" s="4">
        <v>9334</v>
      </c>
      <c r="B9339" s="3" t="str">
        <f>"00676538"</f>
        <v>00676538</v>
      </c>
    </row>
    <row r="9340" spans="1:2" x14ac:dyDescent="0.25">
      <c r="A9340" s="4">
        <v>9335</v>
      </c>
      <c r="B9340" s="3" t="str">
        <f>"00676540"</f>
        <v>00676540</v>
      </c>
    </row>
    <row r="9341" spans="1:2" x14ac:dyDescent="0.25">
      <c r="A9341" s="4">
        <v>9336</v>
      </c>
      <c r="B9341" s="3" t="str">
        <f>"00676543"</f>
        <v>00676543</v>
      </c>
    </row>
    <row r="9342" spans="1:2" x14ac:dyDescent="0.25">
      <c r="A9342" s="4">
        <v>9337</v>
      </c>
      <c r="B9342" s="3" t="str">
        <f>"00676546"</f>
        <v>00676546</v>
      </c>
    </row>
    <row r="9343" spans="1:2" x14ac:dyDescent="0.25">
      <c r="A9343" s="4">
        <v>9338</v>
      </c>
      <c r="B9343" s="3" t="str">
        <f>"00676550"</f>
        <v>00676550</v>
      </c>
    </row>
    <row r="9344" spans="1:2" x14ac:dyDescent="0.25">
      <c r="A9344" s="4">
        <v>9339</v>
      </c>
      <c r="B9344" s="3" t="str">
        <f>"00676553"</f>
        <v>00676553</v>
      </c>
    </row>
    <row r="9345" spans="1:2" x14ac:dyDescent="0.25">
      <c r="A9345" s="4">
        <v>9340</v>
      </c>
      <c r="B9345" s="3" t="str">
        <f>"00676559"</f>
        <v>00676559</v>
      </c>
    </row>
    <row r="9346" spans="1:2" x14ac:dyDescent="0.25">
      <c r="A9346" s="4">
        <v>9341</v>
      </c>
      <c r="B9346" s="3" t="str">
        <f>"00676568"</f>
        <v>00676568</v>
      </c>
    </row>
    <row r="9347" spans="1:2" x14ac:dyDescent="0.25">
      <c r="A9347" s="4">
        <v>9342</v>
      </c>
      <c r="B9347" s="3" t="str">
        <f>"00676585"</f>
        <v>00676585</v>
      </c>
    </row>
    <row r="9348" spans="1:2" x14ac:dyDescent="0.25">
      <c r="A9348" s="4">
        <v>9343</v>
      </c>
      <c r="B9348" s="3" t="str">
        <f>"00676588"</f>
        <v>00676588</v>
      </c>
    </row>
    <row r="9349" spans="1:2" x14ac:dyDescent="0.25">
      <c r="A9349" s="4">
        <v>9344</v>
      </c>
      <c r="B9349" s="3" t="str">
        <f>"00676591"</f>
        <v>00676591</v>
      </c>
    </row>
    <row r="9350" spans="1:2" x14ac:dyDescent="0.25">
      <c r="A9350" s="4">
        <v>9345</v>
      </c>
      <c r="B9350" s="3" t="str">
        <f>"00676593"</f>
        <v>00676593</v>
      </c>
    </row>
    <row r="9351" spans="1:2" x14ac:dyDescent="0.25">
      <c r="A9351" s="4">
        <v>9346</v>
      </c>
      <c r="B9351" s="3" t="str">
        <f>"00676596"</f>
        <v>00676596</v>
      </c>
    </row>
    <row r="9352" spans="1:2" x14ac:dyDescent="0.25">
      <c r="A9352" s="4">
        <v>9347</v>
      </c>
      <c r="B9352" s="3" t="str">
        <f>"00676597"</f>
        <v>00676597</v>
      </c>
    </row>
    <row r="9353" spans="1:2" x14ac:dyDescent="0.25">
      <c r="A9353" s="4">
        <v>9348</v>
      </c>
      <c r="B9353" s="3" t="str">
        <f>"00676602"</f>
        <v>00676602</v>
      </c>
    </row>
    <row r="9354" spans="1:2" x14ac:dyDescent="0.25">
      <c r="A9354" s="4">
        <v>9349</v>
      </c>
      <c r="B9354" s="3" t="str">
        <f>"00676603"</f>
        <v>00676603</v>
      </c>
    </row>
    <row r="9355" spans="1:2" x14ac:dyDescent="0.25">
      <c r="A9355" s="4">
        <v>9350</v>
      </c>
      <c r="B9355" s="3" t="str">
        <f>"00676607"</f>
        <v>00676607</v>
      </c>
    </row>
    <row r="9356" spans="1:2" x14ac:dyDescent="0.25">
      <c r="A9356" s="4">
        <v>9351</v>
      </c>
      <c r="B9356" s="3" t="str">
        <f>"00676618"</f>
        <v>00676618</v>
      </c>
    </row>
    <row r="9357" spans="1:2" x14ac:dyDescent="0.25">
      <c r="A9357" s="4">
        <v>9352</v>
      </c>
      <c r="B9357" s="3" t="str">
        <f>"00676621"</f>
        <v>00676621</v>
      </c>
    </row>
    <row r="9358" spans="1:2" x14ac:dyDescent="0.25">
      <c r="A9358" s="4">
        <v>9353</v>
      </c>
      <c r="B9358" s="3" t="str">
        <f>"00676625"</f>
        <v>00676625</v>
      </c>
    </row>
    <row r="9359" spans="1:2" x14ac:dyDescent="0.25">
      <c r="A9359" s="4">
        <v>9354</v>
      </c>
      <c r="B9359" s="3" t="str">
        <f>"00676628"</f>
        <v>00676628</v>
      </c>
    </row>
    <row r="9360" spans="1:2" x14ac:dyDescent="0.25">
      <c r="A9360" s="4">
        <v>9355</v>
      </c>
      <c r="B9360" s="3" t="str">
        <f>"00676633"</f>
        <v>00676633</v>
      </c>
    </row>
    <row r="9361" spans="1:2" x14ac:dyDescent="0.25">
      <c r="A9361" s="4">
        <v>9356</v>
      </c>
      <c r="B9361" s="3" t="str">
        <f>"00676638"</f>
        <v>00676638</v>
      </c>
    </row>
    <row r="9362" spans="1:2" x14ac:dyDescent="0.25">
      <c r="A9362" s="4">
        <v>9357</v>
      </c>
      <c r="B9362" s="3" t="str">
        <f>"00676640"</f>
        <v>00676640</v>
      </c>
    </row>
    <row r="9363" spans="1:2" x14ac:dyDescent="0.25">
      <c r="A9363" s="4">
        <v>9358</v>
      </c>
      <c r="B9363" s="3" t="str">
        <f>"00676641"</f>
        <v>00676641</v>
      </c>
    </row>
    <row r="9364" spans="1:2" x14ac:dyDescent="0.25">
      <c r="A9364" s="4">
        <v>9359</v>
      </c>
      <c r="B9364" s="3" t="str">
        <f>"00676664"</f>
        <v>00676664</v>
      </c>
    </row>
    <row r="9365" spans="1:2" x14ac:dyDescent="0.25">
      <c r="A9365" s="4">
        <v>9360</v>
      </c>
      <c r="B9365" s="3" t="str">
        <f>"00676670"</f>
        <v>00676670</v>
      </c>
    </row>
    <row r="9366" spans="1:2" x14ac:dyDescent="0.25">
      <c r="A9366" s="4">
        <v>9361</v>
      </c>
      <c r="B9366" s="3" t="str">
        <f>"00676673"</f>
        <v>00676673</v>
      </c>
    </row>
    <row r="9367" spans="1:2" x14ac:dyDescent="0.25">
      <c r="A9367" s="4">
        <v>9362</v>
      </c>
      <c r="B9367" s="3" t="str">
        <f>"00676682"</f>
        <v>00676682</v>
      </c>
    </row>
    <row r="9368" spans="1:2" x14ac:dyDescent="0.25">
      <c r="A9368" s="4">
        <v>9363</v>
      </c>
      <c r="B9368" s="3" t="str">
        <f>"00676683"</f>
        <v>00676683</v>
      </c>
    </row>
    <row r="9369" spans="1:2" x14ac:dyDescent="0.25">
      <c r="A9369" s="4">
        <v>9364</v>
      </c>
      <c r="B9369" s="3" t="str">
        <f>"00676697"</f>
        <v>00676697</v>
      </c>
    </row>
    <row r="9370" spans="1:2" x14ac:dyDescent="0.25">
      <c r="A9370" s="4">
        <v>9365</v>
      </c>
      <c r="B9370" s="3" t="str">
        <f>"00676702"</f>
        <v>00676702</v>
      </c>
    </row>
    <row r="9371" spans="1:2" x14ac:dyDescent="0.25">
      <c r="A9371" s="4">
        <v>9366</v>
      </c>
      <c r="B9371" s="3" t="str">
        <f>"00676703"</f>
        <v>00676703</v>
      </c>
    </row>
    <row r="9372" spans="1:2" x14ac:dyDescent="0.25">
      <c r="A9372" s="4">
        <v>9367</v>
      </c>
      <c r="B9372" s="3" t="str">
        <f>"00676724"</f>
        <v>00676724</v>
      </c>
    </row>
    <row r="9373" spans="1:2" x14ac:dyDescent="0.25">
      <c r="A9373" s="4">
        <v>9368</v>
      </c>
      <c r="B9373" s="3" t="str">
        <f>"00676744"</f>
        <v>00676744</v>
      </c>
    </row>
    <row r="9374" spans="1:2" x14ac:dyDescent="0.25">
      <c r="A9374" s="4">
        <v>9369</v>
      </c>
      <c r="B9374" s="3" t="str">
        <f>"00676746"</f>
        <v>00676746</v>
      </c>
    </row>
    <row r="9375" spans="1:2" x14ac:dyDescent="0.25">
      <c r="A9375" s="4">
        <v>9370</v>
      </c>
      <c r="B9375" s="3" t="str">
        <f>"00676757"</f>
        <v>00676757</v>
      </c>
    </row>
    <row r="9376" spans="1:2" x14ac:dyDescent="0.25">
      <c r="A9376" s="4">
        <v>9371</v>
      </c>
      <c r="B9376" s="3" t="str">
        <f>"00676762"</f>
        <v>00676762</v>
      </c>
    </row>
    <row r="9377" spans="1:2" x14ac:dyDescent="0.25">
      <c r="A9377" s="4">
        <v>9372</v>
      </c>
      <c r="B9377" s="3" t="str">
        <f>"00676767"</f>
        <v>00676767</v>
      </c>
    </row>
    <row r="9378" spans="1:2" x14ac:dyDescent="0.25">
      <c r="A9378" s="4">
        <v>9373</v>
      </c>
      <c r="B9378" s="3" t="str">
        <f>"00676774"</f>
        <v>00676774</v>
      </c>
    </row>
    <row r="9379" spans="1:2" x14ac:dyDescent="0.25">
      <c r="A9379" s="4">
        <v>9374</v>
      </c>
      <c r="B9379" s="3" t="str">
        <f>"00676781"</f>
        <v>00676781</v>
      </c>
    </row>
    <row r="9380" spans="1:2" x14ac:dyDescent="0.25">
      <c r="A9380" s="4">
        <v>9375</v>
      </c>
      <c r="B9380" s="3" t="str">
        <f>"00676790"</f>
        <v>00676790</v>
      </c>
    </row>
    <row r="9381" spans="1:2" x14ac:dyDescent="0.25">
      <c r="A9381" s="4">
        <v>9376</v>
      </c>
      <c r="B9381" s="3" t="str">
        <f>"00676821"</f>
        <v>00676821</v>
      </c>
    </row>
    <row r="9382" spans="1:2" x14ac:dyDescent="0.25">
      <c r="A9382" s="4">
        <v>9377</v>
      </c>
      <c r="B9382" s="3" t="str">
        <f>"00676850"</f>
        <v>00676850</v>
      </c>
    </row>
    <row r="9383" spans="1:2" x14ac:dyDescent="0.25">
      <c r="A9383" s="4">
        <v>9378</v>
      </c>
      <c r="B9383" s="3" t="str">
        <f>"00676856"</f>
        <v>00676856</v>
      </c>
    </row>
    <row r="9384" spans="1:2" x14ac:dyDescent="0.25">
      <c r="A9384" s="4">
        <v>9379</v>
      </c>
      <c r="B9384" s="3" t="str">
        <f>"00676887"</f>
        <v>00676887</v>
      </c>
    </row>
    <row r="9385" spans="1:2" x14ac:dyDescent="0.25">
      <c r="A9385" s="4">
        <v>9380</v>
      </c>
      <c r="B9385" s="3" t="str">
        <f>"00676888"</f>
        <v>00676888</v>
      </c>
    </row>
    <row r="9386" spans="1:2" x14ac:dyDescent="0.25">
      <c r="A9386" s="4">
        <v>9381</v>
      </c>
      <c r="B9386" s="3" t="str">
        <f>"00676914"</f>
        <v>00676914</v>
      </c>
    </row>
    <row r="9387" spans="1:2" x14ac:dyDescent="0.25">
      <c r="A9387" s="4">
        <v>9382</v>
      </c>
      <c r="B9387" s="3" t="str">
        <f>"00676915"</f>
        <v>00676915</v>
      </c>
    </row>
    <row r="9388" spans="1:2" x14ac:dyDescent="0.25">
      <c r="A9388" s="4">
        <v>9383</v>
      </c>
      <c r="B9388" s="3" t="str">
        <f>"00676922"</f>
        <v>00676922</v>
      </c>
    </row>
    <row r="9389" spans="1:2" x14ac:dyDescent="0.25">
      <c r="A9389" s="4">
        <v>9384</v>
      </c>
      <c r="B9389" s="3" t="str">
        <f>"00676927"</f>
        <v>00676927</v>
      </c>
    </row>
    <row r="9390" spans="1:2" x14ac:dyDescent="0.25">
      <c r="A9390" s="4">
        <v>9385</v>
      </c>
      <c r="B9390" s="3" t="str">
        <f>"00676939"</f>
        <v>00676939</v>
      </c>
    </row>
    <row r="9391" spans="1:2" x14ac:dyDescent="0.25">
      <c r="A9391" s="4">
        <v>9386</v>
      </c>
      <c r="B9391" s="3" t="str">
        <f>"00676944"</f>
        <v>00676944</v>
      </c>
    </row>
    <row r="9392" spans="1:2" x14ac:dyDescent="0.25">
      <c r="A9392" s="4">
        <v>9387</v>
      </c>
      <c r="B9392" s="3" t="str">
        <f>"00676946"</f>
        <v>00676946</v>
      </c>
    </row>
    <row r="9393" spans="1:2" x14ac:dyDescent="0.25">
      <c r="A9393" s="4">
        <v>9388</v>
      </c>
      <c r="B9393" s="3" t="str">
        <f>"00676948"</f>
        <v>00676948</v>
      </c>
    </row>
    <row r="9394" spans="1:2" x14ac:dyDescent="0.25">
      <c r="A9394" s="4">
        <v>9389</v>
      </c>
      <c r="B9394" s="3" t="str">
        <f>"00676951"</f>
        <v>00676951</v>
      </c>
    </row>
    <row r="9395" spans="1:2" x14ac:dyDescent="0.25">
      <c r="A9395" s="4">
        <v>9390</v>
      </c>
      <c r="B9395" s="3" t="str">
        <f>"00676957"</f>
        <v>00676957</v>
      </c>
    </row>
    <row r="9396" spans="1:2" x14ac:dyDescent="0.25">
      <c r="A9396" s="4">
        <v>9391</v>
      </c>
      <c r="B9396" s="3" t="str">
        <f>"00676967"</f>
        <v>00676967</v>
      </c>
    </row>
    <row r="9397" spans="1:2" x14ac:dyDescent="0.25">
      <c r="A9397" s="4">
        <v>9392</v>
      </c>
      <c r="B9397" s="3" t="str">
        <f>"00676984"</f>
        <v>00676984</v>
      </c>
    </row>
    <row r="9398" spans="1:2" x14ac:dyDescent="0.25">
      <c r="A9398" s="4">
        <v>9393</v>
      </c>
      <c r="B9398" s="3" t="str">
        <f>"00676995"</f>
        <v>00676995</v>
      </c>
    </row>
    <row r="9399" spans="1:2" x14ac:dyDescent="0.25">
      <c r="A9399" s="4">
        <v>9394</v>
      </c>
      <c r="B9399" s="3" t="str">
        <f>"00677003"</f>
        <v>00677003</v>
      </c>
    </row>
    <row r="9400" spans="1:2" x14ac:dyDescent="0.25">
      <c r="A9400" s="4">
        <v>9395</v>
      </c>
      <c r="B9400" s="3" t="str">
        <f>"00677010"</f>
        <v>00677010</v>
      </c>
    </row>
    <row r="9401" spans="1:2" x14ac:dyDescent="0.25">
      <c r="A9401" s="4">
        <v>9396</v>
      </c>
      <c r="B9401" s="3" t="str">
        <f>"00677023"</f>
        <v>00677023</v>
      </c>
    </row>
    <row r="9402" spans="1:2" x14ac:dyDescent="0.25">
      <c r="A9402" s="4">
        <v>9397</v>
      </c>
      <c r="B9402" s="3" t="str">
        <f>"00677039"</f>
        <v>00677039</v>
      </c>
    </row>
    <row r="9403" spans="1:2" x14ac:dyDescent="0.25">
      <c r="A9403" s="4">
        <v>9398</v>
      </c>
      <c r="B9403" s="3" t="str">
        <f>"00677041"</f>
        <v>00677041</v>
      </c>
    </row>
    <row r="9404" spans="1:2" x14ac:dyDescent="0.25">
      <c r="A9404" s="4">
        <v>9399</v>
      </c>
      <c r="B9404" s="3" t="str">
        <f>"00677046"</f>
        <v>00677046</v>
      </c>
    </row>
    <row r="9405" spans="1:2" x14ac:dyDescent="0.25">
      <c r="A9405" s="4">
        <v>9400</v>
      </c>
      <c r="B9405" s="3" t="str">
        <f>"00677051"</f>
        <v>00677051</v>
      </c>
    </row>
    <row r="9406" spans="1:2" x14ac:dyDescent="0.25">
      <c r="A9406" s="4">
        <v>9401</v>
      </c>
      <c r="B9406" s="3" t="str">
        <f>"00677054"</f>
        <v>00677054</v>
      </c>
    </row>
    <row r="9407" spans="1:2" x14ac:dyDescent="0.25">
      <c r="A9407" s="4">
        <v>9402</v>
      </c>
      <c r="B9407" s="3" t="str">
        <f>"00677066"</f>
        <v>00677066</v>
      </c>
    </row>
    <row r="9408" spans="1:2" x14ac:dyDescent="0.25">
      <c r="A9408" s="4">
        <v>9403</v>
      </c>
      <c r="B9408" s="3" t="str">
        <f>"00677083"</f>
        <v>00677083</v>
      </c>
    </row>
    <row r="9409" spans="1:2" x14ac:dyDescent="0.25">
      <c r="A9409" s="4">
        <v>9404</v>
      </c>
      <c r="B9409" s="3" t="str">
        <f>"00677084"</f>
        <v>00677084</v>
      </c>
    </row>
    <row r="9410" spans="1:2" x14ac:dyDescent="0.25">
      <c r="A9410" s="4">
        <v>9405</v>
      </c>
      <c r="B9410" s="3" t="str">
        <f>"00677085"</f>
        <v>00677085</v>
      </c>
    </row>
    <row r="9411" spans="1:2" x14ac:dyDescent="0.25">
      <c r="A9411" s="4">
        <v>9406</v>
      </c>
      <c r="B9411" s="3" t="str">
        <f>"00677088"</f>
        <v>00677088</v>
      </c>
    </row>
    <row r="9412" spans="1:2" x14ac:dyDescent="0.25">
      <c r="A9412" s="4">
        <v>9407</v>
      </c>
      <c r="B9412" s="3" t="str">
        <f>"00677089"</f>
        <v>00677089</v>
      </c>
    </row>
    <row r="9413" spans="1:2" x14ac:dyDescent="0.25">
      <c r="A9413" s="4">
        <v>9408</v>
      </c>
      <c r="B9413" s="3" t="str">
        <f>"00677094"</f>
        <v>00677094</v>
      </c>
    </row>
    <row r="9414" spans="1:2" x14ac:dyDescent="0.25">
      <c r="A9414" s="4">
        <v>9409</v>
      </c>
      <c r="B9414" s="3" t="str">
        <f>"00677095"</f>
        <v>00677095</v>
      </c>
    </row>
    <row r="9415" spans="1:2" x14ac:dyDescent="0.25">
      <c r="A9415" s="4">
        <v>9410</v>
      </c>
      <c r="B9415" s="3" t="str">
        <f>"00677103"</f>
        <v>00677103</v>
      </c>
    </row>
    <row r="9416" spans="1:2" x14ac:dyDescent="0.25">
      <c r="A9416" s="4">
        <v>9411</v>
      </c>
      <c r="B9416" s="3" t="str">
        <f>"00677121"</f>
        <v>00677121</v>
      </c>
    </row>
    <row r="9417" spans="1:2" x14ac:dyDescent="0.25">
      <c r="A9417" s="4">
        <v>9412</v>
      </c>
      <c r="B9417" s="3" t="str">
        <f>"00677125"</f>
        <v>00677125</v>
      </c>
    </row>
    <row r="9418" spans="1:2" x14ac:dyDescent="0.25">
      <c r="A9418" s="4">
        <v>9413</v>
      </c>
      <c r="B9418" s="3" t="str">
        <f>"00677127"</f>
        <v>00677127</v>
      </c>
    </row>
    <row r="9419" spans="1:2" x14ac:dyDescent="0.25">
      <c r="A9419" s="4">
        <v>9414</v>
      </c>
      <c r="B9419" s="3" t="str">
        <f>"00677135"</f>
        <v>00677135</v>
      </c>
    </row>
    <row r="9420" spans="1:2" x14ac:dyDescent="0.25">
      <c r="A9420" s="4">
        <v>9415</v>
      </c>
      <c r="B9420" s="3" t="str">
        <f>"00677149"</f>
        <v>00677149</v>
      </c>
    </row>
    <row r="9421" spans="1:2" x14ac:dyDescent="0.25">
      <c r="A9421" s="4">
        <v>9416</v>
      </c>
      <c r="B9421" s="3" t="str">
        <f>"00677154"</f>
        <v>00677154</v>
      </c>
    </row>
    <row r="9422" spans="1:2" x14ac:dyDescent="0.25">
      <c r="A9422" s="4">
        <v>9417</v>
      </c>
      <c r="B9422" s="3" t="str">
        <f>"00677157"</f>
        <v>00677157</v>
      </c>
    </row>
    <row r="9423" spans="1:2" x14ac:dyDescent="0.25">
      <c r="A9423" s="4">
        <v>9418</v>
      </c>
      <c r="B9423" s="3" t="str">
        <f>"00677158"</f>
        <v>00677158</v>
      </c>
    </row>
    <row r="9424" spans="1:2" x14ac:dyDescent="0.25">
      <c r="A9424" s="4">
        <v>9419</v>
      </c>
      <c r="B9424" s="3" t="str">
        <f>"00677164"</f>
        <v>00677164</v>
      </c>
    </row>
    <row r="9425" spans="1:2" x14ac:dyDescent="0.25">
      <c r="A9425" s="4">
        <v>9420</v>
      </c>
      <c r="B9425" s="3" t="str">
        <f>"00677166"</f>
        <v>00677166</v>
      </c>
    </row>
    <row r="9426" spans="1:2" x14ac:dyDescent="0.25">
      <c r="A9426" s="4">
        <v>9421</v>
      </c>
      <c r="B9426" s="3" t="str">
        <f>"00677169"</f>
        <v>00677169</v>
      </c>
    </row>
    <row r="9427" spans="1:2" x14ac:dyDescent="0.25">
      <c r="A9427" s="4">
        <v>9422</v>
      </c>
      <c r="B9427" s="3" t="str">
        <f>"00677171"</f>
        <v>00677171</v>
      </c>
    </row>
    <row r="9428" spans="1:2" x14ac:dyDescent="0.25">
      <c r="A9428" s="4">
        <v>9423</v>
      </c>
      <c r="B9428" s="3" t="str">
        <f>"00677187"</f>
        <v>00677187</v>
      </c>
    </row>
    <row r="9429" spans="1:2" x14ac:dyDescent="0.25">
      <c r="A9429" s="4">
        <v>9424</v>
      </c>
      <c r="B9429" s="3" t="str">
        <f>"00677192"</f>
        <v>00677192</v>
      </c>
    </row>
    <row r="9430" spans="1:2" x14ac:dyDescent="0.25">
      <c r="A9430" s="4">
        <v>9425</v>
      </c>
      <c r="B9430" s="3" t="str">
        <f>"00677204"</f>
        <v>00677204</v>
      </c>
    </row>
    <row r="9431" spans="1:2" x14ac:dyDescent="0.25">
      <c r="A9431" s="4">
        <v>9426</v>
      </c>
      <c r="B9431" s="3" t="str">
        <f>"00677225"</f>
        <v>00677225</v>
      </c>
    </row>
    <row r="9432" spans="1:2" x14ac:dyDescent="0.25">
      <c r="A9432" s="4">
        <v>9427</v>
      </c>
      <c r="B9432" s="3" t="str">
        <f>"00677226"</f>
        <v>00677226</v>
      </c>
    </row>
    <row r="9433" spans="1:2" x14ac:dyDescent="0.25">
      <c r="A9433" s="4">
        <v>9428</v>
      </c>
      <c r="B9433" s="3" t="str">
        <f>"00677227"</f>
        <v>00677227</v>
      </c>
    </row>
    <row r="9434" spans="1:2" x14ac:dyDescent="0.25">
      <c r="A9434" s="4">
        <v>9429</v>
      </c>
      <c r="B9434" s="3" t="str">
        <f>"00677234"</f>
        <v>00677234</v>
      </c>
    </row>
    <row r="9435" spans="1:2" x14ac:dyDescent="0.25">
      <c r="A9435" s="4">
        <v>9430</v>
      </c>
      <c r="B9435" s="3" t="str">
        <f>"00677235"</f>
        <v>00677235</v>
      </c>
    </row>
    <row r="9436" spans="1:2" x14ac:dyDescent="0.25">
      <c r="A9436" s="4">
        <v>9431</v>
      </c>
      <c r="B9436" s="3" t="str">
        <f>"00677236"</f>
        <v>00677236</v>
      </c>
    </row>
    <row r="9437" spans="1:2" x14ac:dyDescent="0.25">
      <c r="A9437" s="4">
        <v>9432</v>
      </c>
      <c r="B9437" s="3" t="str">
        <f>"00677243"</f>
        <v>00677243</v>
      </c>
    </row>
    <row r="9438" spans="1:2" x14ac:dyDescent="0.25">
      <c r="A9438" s="4">
        <v>9433</v>
      </c>
      <c r="B9438" s="3" t="str">
        <f>"00677253"</f>
        <v>00677253</v>
      </c>
    </row>
    <row r="9439" spans="1:2" x14ac:dyDescent="0.25">
      <c r="A9439" s="4">
        <v>9434</v>
      </c>
      <c r="B9439" s="3" t="str">
        <f>"00677255"</f>
        <v>00677255</v>
      </c>
    </row>
    <row r="9440" spans="1:2" x14ac:dyDescent="0.25">
      <c r="A9440" s="4">
        <v>9435</v>
      </c>
      <c r="B9440" s="3" t="str">
        <f>"00677264"</f>
        <v>00677264</v>
      </c>
    </row>
    <row r="9441" spans="1:2" x14ac:dyDescent="0.25">
      <c r="A9441" s="4">
        <v>9436</v>
      </c>
      <c r="B9441" s="3" t="str">
        <f>"00677268"</f>
        <v>00677268</v>
      </c>
    </row>
    <row r="9442" spans="1:2" x14ac:dyDescent="0.25">
      <c r="A9442" s="4">
        <v>9437</v>
      </c>
      <c r="B9442" s="3" t="str">
        <f>"00677277"</f>
        <v>00677277</v>
      </c>
    </row>
    <row r="9443" spans="1:2" x14ac:dyDescent="0.25">
      <c r="A9443" s="4">
        <v>9438</v>
      </c>
      <c r="B9443" s="3" t="str">
        <f>"00677285"</f>
        <v>00677285</v>
      </c>
    </row>
    <row r="9444" spans="1:2" x14ac:dyDescent="0.25">
      <c r="A9444" s="4">
        <v>9439</v>
      </c>
      <c r="B9444" s="3" t="str">
        <f>"00677289"</f>
        <v>00677289</v>
      </c>
    </row>
    <row r="9445" spans="1:2" x14ac:dyDescent="0.25">
      <c r="A9445" s="4">
        <v>9440</v>
      </c>
      <c r="B9445" s="3" t="str">
        <f>"00677291"</f>
        <v>00677291</v>
      </c>
    </row>
    <row r="9446" spans="1:2" x14ac:dyDescent="0.25">
      <c r="A9446" s="4">
        <v>9441</v>
      </c>
      <c r="B9446" s="3" t="str">
        <f>"00677293"</f>
        <v>00677293</v>
      </c>
    </row>
    <row r="9447" spans="1:2" x14ac:dyDescent="0.25">
      <c r="A9447" s="4">
        <v>9442</v>
      </c>
      <c r="B9447" s="3" t="str">
        <f>"00677312"</f>
        <v>00677312</v>
      </c>
    </row>
    <row r="9448" spans="1:2" x14ac:dyDescent="0.25">
      <c r="A9448" s="4">
        <v>9443</v>
      </c>
      <c r="B9448" s="3" t="str">
        <f>"00677329"</f>
        <v>00677329</v>
      </c>
    </row>
    <row r="9449" spans="1:2" x14ac:dyDescent="0.25">
      <c r="A9449" s="4">
        <v>9444</v>
      </c>
      <c r="B9449" s="3" t="str">
        <f>"00677331"</f>
        <v>00677331</v>
      </c>
    </row>
    <row r="9450" spans="1:2" x14ac:dyDescent="0.25">
      <c r="A9450" s="4">
        <v>9445</v>
      </c>
      <c r="B9450" s="3" t="str">
        <f>"00677332"</f>
        <v>00677332</v>
      </c>
    </row>
    <row r="9451" spans="1:2" x14ac:dyDescent="0.25">
      <c r="A9451" s="4">
        <v>9446</v>
      </c>
      <c r="B9451" s="3" t="str">
        <f>"00677338"</f>
        <v>00677338</v>
      </c>
    </row>
    <row r="9452" spans="1:2" x14ac:dyDescent="0.25">
      <c r="A9452" s="4">
        <v>9447</v>
      </c>
      <c r="B9452" s="3" t="str">
        <f>"00677346"</f>
        <v>00677346</v>
      </c>
    </row>
    <row r="9453" spans="1:2" x14ac:dyDescent="0.25">
      <c r="A9453" s="4">
        <v>9448</v>
      </c>
      <c r="B9453" s="3" t="str">
        <f>"00677363"</f>
        <v>00677363</v>
      </c>
    </row>
    <row r="9454" spans="1:2" x14ac:dyDescent="0.25">
      <c r="A9454" s="4">
        <v>9449</v>
      </c>
      <c r="B9454" s="3" t="str">
        <f>"00677382"</f>
        <v>00677382</v>
      </c>
    </row>
    <row r="9455" spans="1:2" x14ac:dyDescent="0.25">
      <c r="A9455" s="4">
        <v>9450</v>
      </c>
      <c r="B9455" s="3" t="str">
        <f>"00677396"</f>
        <v>00677396</v>
      </c>
    </row>
    <row r="9456" spans="1:2" x14ac:dyDescent="0.25">
      <c r="A9456" s="4">
        <v>9451</v>
      </c>
      <c r="B9456" s="3" t="str">
        <f>"00677409"</f>
        <v>00677409</v>
      </c>
    </row>
    <row r="9457" spans="1:2" x14ac:dyDescent="0.25">
      <c r="A9457" s="4">
        <v>9452</v>
      </c>
      <c r="B9457" s="3" t="str">
        <f>"00677411"</f>
        <v>00677411</v>
      </c>
    </row>
    <row r="9458" spans="1:2" x14ac:dyDescent="0.25">
      <c r="A9458" s="4">
        <v>9453</v>
      </c>
      <c r="B9458" s="3" t="str">
        <f>"00677453"</f>
        <v>00677453</v>
      </c>
    </row>
    <row r="9459" spans="1:2" x14ac:dyDescent="0.25">
      <c r="A9459" s="4">
        <v>9454</v>
      </c>
      <c r="B9459" s="3" t="str">
        <f>"00677459"</f>
        <v>00677459</v>
      </c>
    </row>
    <row r="9460" spans="1:2" x14ac:dyDescent="0.25">
      <c r="A9460" s="4">
        <v>9455</v>
      </c>
      <c r="B9460" s="3" t="str">
        <f>"00677464"</f>
        <v>00677464</v>
      </c>
    </row>
    <row r="9461" spans="1:2" x14ac:dyDescent="0.25">
      <c r="A9461" s="4">
        <v>9456</v>
      </c>
      <c r="B9461" s="3" t="str">
        <f>"00677479"</f>
        <v>00677479</v>
      </c>
    </row>
    <row r="9462" spans="1:2" x14ac:dyDescent="0.25">
      <c r="A9462" s="4">
        <v>9457</v>
      </c>
      <c r="B9462" s="3" t="str">
        <f>"00677481"</f>
        <v>00677481</v>
      </c>
    </row>
    <row r="9463" spans="1:2" x14ac:dyDescent="0.25">
      <c r="A9463" s="4">
        <v>9458</v>
      </c>
      <c r="B9463" s="3" t="str">
        <f>"00677489"</f>
        <v>00677489</v>
      </c>
    </row>
    <row r="9464" spans="1:2" x14ac:dyDescent="0.25">
      <c r="A9464" s="4">
        <v>9459</v>
      </c>
      <c r="B9464" s="3" t="str">
        <f>"00677493"</f>
        <v>00677493</v>
      </c>
    </row>
    <row r="9465" spans="1:2" x14ac:dyDescent="0.25">
      <c r="A9465" s="4">
        <v>9460</v>
      </c>
      <c r="B9465" s="3" t="str">
        <f>"00677510"</f>
        <v>00677510</v>
      </c>
    </row>
    <row r="9466" spans="1:2" x14ac:dyDescent="0.25">
      <c r="A9466" s="4">
        <v>9461</v>
      </c>
      <c r="B9466" s="3" t="str">
        <f>"00677527"</f>
        <v>00677527</v>
      </c>
    </row>
    <row r="9467" spans="1:2" x14ac:dyDescent="0.25">
      <c r="A9467" s="4">
        <v>9462</v>
      </c>
      <c r="B9467" s="3" t="str">
        <f>"00677533"</f>
        <v>00677533</v>
      </c>
    </row>
    <row r="9468" spans="1:2" x14ac:dyDescent="0.25">
      <c r="A9468" s="4">
        <v>9463</v>
      </c>
      <c r="B9468" s="3" t="str">
        <f>"00677534"</f>
        <v>00677534</v>
      </c>
    </row>
    <row r="9469" spans="1:2" x14ac:dyDescent="0.25">
      <c r="A9469" s="4">
        <v>9464</v>
      </c>
      <c r="B9469" s="3" t="str">
        <f>"00677563"</f>
        <v>00677563</v>
      </c>
    </row>
    <row r="9470" spans="1:2" x14ac:dyDescent="0.25">
      <c r="A9470" s="4">
        <v>9465</v>
      </c>
      <c r="B9470" s="3" t="str">
        <f>"00677592"</f>
        <v>00677592</v>
      </c>
    </row>
    <row r="9471" spans="1:2" x14ac:dyDescent="0.25">
      <c r="A9471" s="4">
        <v>9466</v>
      </c>
      <c r="B9471" s="3" t="str">
        <f>"00677596"</f>
        <v>00677596</v>
      </c>
    </row>
    <row r="9472" spans="1:2" x14ac:dyDescent="0.25">
      <c r="A9472" s="4">
        <v>9467</v>
      </c>
      <c r="B9472" s="3" t="str">
        <f>"00677600"</f>
        <v>00677600</v>
      </c>
    </row>
    <row r="9473" spans="1:2" x14ac:dyDescent="0.25">
      <c r="A9473" s="4">
        <v>9468</v>
      </c>
      <c r="B9473" s="3" t="str">
        <f>"00677604"</f>
        <v>00677604</v>
      </c>
    </row>
    <row r="9474" spans="1:2" x14ac:dyDescent="0.25">
      <c r="A9474" s="4">
        <v>9469</v>
      </c>
      <c r="B9474" s="3" t="str">
        <f>"00677611"</f>
        <v>00677611</v>
      </c>
    </row>
    <row r="9475" spans="1:2" x14ac:dyDescent="0.25">
      <c r="A9475" s="4">
        <v>9470</v>
      </c>
      <c r="B9475" s="3" t="str">
        <f>"00677621"</f>
        <v>00677621</v>
      </c>
    </row>
    <row r="9476" spans="1:2" x14ac:dyDescent="0.25">
      <c r="A9476" s="4">
        <v>9471</v>
      </c>
      <c r="B9476" s="3" t="str">
        <f>"00677623"</f>
        <v>00677623</v>
      </c>
    </row>
    <row r="9477" spans="1:2" x14ac:dyDescent="0.25">
      <c r="A9477" s="4">
        <v>9472</v>
      </c>
      <c r="B9477" s="3" t="str">
        <f>"00677669"</f>
        <v>00677669</v>
      </c>
    </row>
    <row r="9478" spans="1:2" x14ac:dyDescent="0.25">
      <c r="A9478" s="4">
        <v>9473</v>
      </c>
      <c r="B9478" s="3" t="str">
        <f>"00677677"</f>
        <v>00677677</v>
      </c>
    </row>
    <row r="9479" spans="1:2" x14ac:dyDescent="0.25">
      <c r="A9479" s="4">
        <v>9474</v>
      </c>
      <c r="B9479" s="3" t="str">
        <f>"00677682"</f>
        <v>00677682</v>
      </c>
    </row>
    <row r="9480" spans="1:2" x14ac:dyDescent="0.25">
      <c r="A9480" s="4">
        <v>9475</v>
      </c>
      <c r="B9480" s="3" t="str">
        <f>"00677689"</f>
        <v>00677689</v>
      </c>
    </row>
    <row r="9481" spans="1:2" x14ac:dyDescent="0.25">
      <c r="A9481" s="4">
        <v>9476</v>
      </c>
      <c r="B9481" s="3" t="str">
        <f>"00677691"</f>
        <v>00677691</v>
      </c>
    </row>
    <row r="9482" spans="1:2" x14ac:dyDescent="0.25">
      <c r="A9482" s="4">
        <v>9477</v>
      </c>
      <c r="B9482" s="3" t="str">
        <f>"00677696"</f>
        <v>00677696</v>
      </c>
    </row>
    <row r="9483" spans="1:2" x14ac:dyDescent="0.25">
      <c r="A9483" s="4">
        <v>9478</v>
      </c>
      <c r="B9483" s="3" t="str">
        <f>"00677701"</f>
        <v>00677701</v>
      </c>
    </row>
    <row r="9484" spans="1:2" x14ac:dyDescent="0.25">
      <c r="A9484" s="4">
        <v>9479</v>
      </c>
      <c r="B9484" s="3" t="str">
        <f>"00677703"</f>
        <v>00677703</v>
      </c>
    </row>
    <row r="9485" spans="1:2" x14ac:dyDescent="0.25">
      <c r="A9485" s="4">
        <v>9480</v>
      </c>
      <c r="B9485" s="3" t="str">
        <f>"00677712"</f>
        <v>00677712</v>
      </c>
    </row>
    <row r="9486" spans="1:2" x14ac:dyDescent="0.25">
      <c r="A9486" s="4">
        <v>9481</v>
      </c>
      <c r="B9486" s="3" t="str">
        <f>"00677717"</f>
        <v>00677717</v>
      </c>
    </row>
    <row r="9487" spans="1:2" x14ac:dyDescent="0.25">
      <c r="A9487" s="4">
        <v>9482</v>
      </c>
      <c r="B9487" s="3" t="str">
        <f>"00677728"</f>
        <v>00677728</v>
      </c>
    </row>
    <row r="9488" spans="1:2" x14ac:dyDescent="0.25">
      <c r="A9488" s="4">
        <v>9483</v>
      </c>
      <c r="B9488" s="3" t="str">
        <f>"00677738"</f>
        <v>00677738</v>
      </c>
    </row>
    <row r="9489" spans="1:2" x14ac:dyDescent="0.25">
      <c r="A9489" s="4">
        <v>9484</v>
      </c>
      <c r="B9489" s="3" t="str">
        <f>"00677746"</f>
        <v>00677746</v>
      </c>
    </row>
    <row r="9490" spans="1:2" x14ac:dyDescent="0.25">
      <c r="A9490" s="4">
        <v>9485</v>
      </c>
      <c r="B9490" s="3" t="str">
        <f>"00677756"</f>
        <v>00677756</v>
      </c>
    </row>
    <row r="9491" spans="1:2" x14ac:dyDescent="0.25">
      <c r="A9491" s="4">
        <v>9486</v>
      </c>
      <c r="B9491" s="3" t="str">
        <f>"00677760"</f>
        <v>00677760</v>
      </c>
    </row>
    <row r="9492" spans="1:2" x14ac:dyDescent="0.25">
      <c r="A9492" s="4">
        <v>9487</v>
      </c>
      <c r="B9492" s="3" t="str">
        <f>"00677780"</f>
        <v>00677780</v>
      </c>
    </row>
    <row r="9493" spans="1:2" x14ac:dyDescent="0.25">
      <c r="A9493" s="4">
        <v>9488</v>
      </c>
      <c r="B9493" s="3" t="str">
        <f>"00677783"</f>
        <v>00677783</v>
      </c>
    </row>
    <row r="9494" spans="1:2" x14ac:dyDescent="0.25">
      <c r="A9494" s="4">
        <v>9489</v>
      </c>
      <c r="B9494" s="3" t="str">
        <f>"00677790"</f>
        <v>00677790</v>
      </c>
    </row>
    <row r="9495" spans="1:2" x14ac:dyDescent="0.25">
      <c r="A9495" s="4">
        <v>9490</v>
      </c>
      <c r="B9495" s="3" t="str">
        <f>"00677793"</f>
        <v>00677793</v>
      </c>
    </row>
    <row r="9496" spans="1:2" x14ac:dyDescent="0.25">
      <c r="A9496" s="4">
        <v>9491</v>
      </c>
      <c r="B9496" s="3" t="str">
        <f>"00677803"</f>
        <v>00677803</v>
      </c>
    </row>
    <row r="9497" spans="1:2" x14ac:dyDescent="0.25">
      <c r="A9497" s="4">
        <v>9492</v>
      </c>
      <c r="B9497" s="3" t="str">
        <f>"00677811"</f>
        <v>00677811</v>
      </c>
    </row>
    <row r="9498" spans="1:2" x14ac:dyDescent="0.25">
      <c r="A9498" s="4">
        <v>9493</v>
      </c>
      <c r="B9498" s="3" t="str">
        <f>"00677820"</f>
        <v>00677820</v>
      </c>
    </row>
    <row r="9499" spans="1:2" x14ac:dyDescent="0.25">
      <c r="A9499" s="4">
        <v>9494</v>
      </c>
      <c r="B9499" s="3" t="str">
        <f>"00677822"</f>
        <v>00677822</v>
      </c>
    </row>
    <row r="9500" spans="1:2" x14ac:dyDescent="0.25">
      <c r="A9500" s="4">
        <v>9495</v>
      </c>
      <c r="B9500" s="3" t="str">
        <f>"00677823"</f>
        <v>00677823</v>
      </c>
    </row>
    <row r="9501" spans="1:2" x14ac:dyDescent="0.25">
      <c r="A9501" s="4">
        <v>9496</v>
      </c>
      <c r="B9501" s="3" t="str">
        <f>"00677836"</f>
        <v>00677836</v>
      </c>
    </row>
    <row r="9502" spans="1:2" x14ac:dyDescent="0.25">
      <c r="A9502" s="4">
        <v>9497</v>
      </c>
      <c r="B9502" s="3" t="str">
        <f>"00677858"</f>
        <v>00677858</v>
      </c>
    </row>
    <row r="9503" spans="1:2" x14ac:dyDescent="0.25">
      <c r="A9503" s="4">
        <v>9498</v>
      </c>
      <c r="B9503" s="3" t="str">
        <f>"00677871"</f>
        <v>00677871</v>
      </c>
    </row>
    <row r="9504" spans="1:2" x14ac:dyDescent="0.25">
      <c r="A9504" s="4">
        <v>9499</v>
      </c>
      <c r="B9504" s="3" t="str">
        <f>"00677876"</f>
        <v>00677876</v>
      </c>
    </row>
    <row r="9505" spans="1:2" x14ac:dyDescent="0.25">
      <c r="A9505" s="4">
        <v>9500</v>
      </c>
      <c r="B9505" s="3" t="str">
        <f>"00677880"</f>
        <v>00677880</v>
      </c>
    </row>
    <row r="9506" spans="1:2" x14ac:dyDescent="0.25">
      <c r="A9506" s="4">
        <v>9501</v>
      </c>
      <c r="B9506" s="3" t="str">
        <f>"00677885"</f>
        <v>00677885</v>
      </c>
    </row>
    <row r="9507" spans="1:2" x14ac:dyDescent="0.25">
      <c r="A9507" s="4">
        <v>9502</v>
      </c>
      <c r="B9507" s="3" t="str">
        <f>"00677887"</f>
        <v>00677887</v>
      </c>
    </row>
    <row r="9508" spans="1:2" x14ac:dyDescent="0.25">
      <c r="A9508" s="4">
        <v>9503</v>
      </c>
      <c r="B9508" s="3" t="str">
        <f>"00677894"</f>
        <v>00677894</v>
      </c>
    </row>
    <row r="9509" spans="1:2" x14ac:dyDescent="0.25">
      <c r="A9509" s="4">
        <v>9504</v>
      </c>
      <c r="B9509" s="3" t="str">
        <f>"00677899"</f>
        <v>00677899</v>
      </c>
    </row>
    <row r="9510" spans="1:2" x14ac:dyDescent="0.25">
      <c r="A9510" s="4">
        <v>9505</v>
      </c>
      <c r="B9510" s="3" t="str">
        <f>"00677932"</f>
        <v>00677932</v>
      </c>
    </row>
    <row r="9511" spans="1:2" x14ac:dyDescent="0.25">
      <c r="A9511" s="4">
        <v>9506</v>
      </c>
      <c r="B9511" s="3" t="str">
        <f>"00677936"</f>
        <v>00677936</v>
      </c>
    </row>
    <row r="9512" spans="1:2" x14ac:dyDescent="0.25">
      <c r="A9512" s="4">
        <v>9507</v>
      </c>
      <c r="B9512" s="3" t="str">
        <f>"00677937"</f>
        <v>00677937</v>
      </c>
    </row>
    <row r="9513" spans="1:2" x14ac:dyDescent="0.25">
      <c r="A9513" s="4">
        <v>9508</v>
      </c>
      <c r="B9513" s="3" t="str">
        <f>"00677939"</f>
        <v>00677939</v>
      </c>
    </row>
    <row r="9514" spans="1:2" x14ac:dyDescent="0.25">
      <c r="A9514" s="4">
        <v>9509</v>
      </c>
      <c r="B9514" s="3" t="str">
        <f>"00677952"</f>
        <v>00677952</v>
      </c>
    </row>
    <row r="9515" spans="1:2" x14ac:dyDescent="0.25">
      <c r="A9515" s="4">
        <v>9510</v>
      </c>
      <c r="B9515" s="3" t="str">
        <f>"00677969"</f>
        <v>00677969</v>
      </c>
    </row>
    <row r="9516" spans="1:2" x14ac:dyDescent="0.25">
      <c r="A9516" s="4">
        <v>9511</v>
      </c>
      <c r="B9516" s="3" t="str">
        <f>"00677972"</f>
        <v>00677972</v>
      </c>
    </row>
    <row r="9517" spans="1:2" x14ac:dyDescent="0.25">
      <c r="A9517" s="4">
        <v>9512</v>
      </c>
      <c r="B9517" s="3" t="str">
        <f>"00677987"</f>
        <v>00677987</v>
      </c>
    </row>
    <row r="9518" spans="1:2" x14ac:dyDescent="0.25">
      <c r="A9518" s="4">
        <v>9513</v>
      </c>
      <c r="B9518" s="3" t="str">
        <f>"00678007"</f>
        <v>00678007</v>
      </c>
    </row>
    <row r="9519" spans="1:2" x14ac:dyDescent="0.25">
      <c r="A9519" s="4">
        <v>9514</v>
      </c>
      <c r="B9519" s="3" t="str">
        <f>"00678010"</f>
        <v>00678010</v>
      </c>
    </row>
    <row r="9520" spans="1:2" x14ac:dyDescent="0.25">
      <c r="A9520" s="4">
        <v>9515</v>
      </c>
      <c r="B9520" s="3" t="str">
        <f>"00678036"</f>
        <v>00678036</v>
      </c>
    </row>
    <row r="9521" spans="1:2" x14ac:dyDescent="0.25">
      <c r="A9521" s="4">
        <v>9516</v>
      </c>
      <c r="B9521" s="3" t="str">
        <f>"00678042"</f>
        <v>00678042</v>
      </c>
    </row>
    <row r="9522" spans="1:2" x14ac:dyDescent="0.25">
      <c r="A9522" s="4">
        <v>9517</v>
      </c>
      <c r="B9522" s="3" t="str">
        <f>"00678053"</f>
        <v>00678053</v>
      </c>
    </row>
    <row r="9523" spans="1:2" x14ac:dyDescent="0.25">
      <c r="A9523" s="4">
        <v>9518</v>
      </c>
      <c r="B9523" s="3" t="str">
        <f>"00678054"</f>
        <v>00678054</v>
      </c>
    </row>
    <row r="9524" spans="1:2" x14ac:dyDescent="0.25">
      <c r="A9524" s="4">
        <v>9519</v>
      </c>
      <c r="B9524" s="3" t="str">
        <f>"00678076"</f>
        <v>00678076</v>
      </c>
    </row>
    <row r="9525" spans="1:2" x14ac:dyDescent="0.25">
      <c r="A9525" s="4">
        <v>9520</v>
      </c>
      <c r="B9525" s="3" t="str">
        <f>"00678079"</f>
        <v>00678079</v>
      </c>
    </row>
    <row r="9526" spans="1:2" x14ac:dyDescent="0.25">
      <c r="A9526" s="4">
        <v>9521</v>
      </c>
      <c r="B9526" s="3" t="str">
        <f>"00678111"</f>
        <v>00678111</v>
      </c>
    </row>
    <row r="9527" spans="1:2" x14ac:dyDescent="0.25">
      <c r="A9527" s="4">
        <v>9522</v>
      </c>
      <c r="B9527" s="3" t="str">
        <f>"00678134"</f>
        <v>00678134</v>
      </c>
    </row>
    <row r="9528" spans="1:2" x14ac:dyDescent="0.25">
      <c r="A9528" s="4">
        <v>9523</v>
      </c>
      <c r="B9528" s="3" t="str">
        <f>"00678138"</f>
        <v>00678138</v>
      </c>
    </row>
    <row r="9529" spans="1:2" x14ac:dyDescent="0.25">
      <c r="A9529" s="4">
        <v>9524</v>
      </c>
      <c r="B9529" s="3" t="str">
        <f>"00678144"</f>
        <v>00678144</v>
      </c>
    </row>
    <row r="9530" spans="1:2" x14ac:dyDescent="0.25">
      <c r="A9530" s="4">
        <v>9525</v>
      </c>
      <c r="B9530" s="3" t="str">
        <f>"00678148"</f>
        <v>00678148</v>
      </c>
    </row>
    <row r="9531" spans="1:2" x14ac:dyDescent="0.25">
      <c r="A9531" s="4">
        <v>9526</v>
      </c>
      <c r="B9531" s="3" t="str">
        <f>"00678159"</f>
        <v>00678159</v>
      </c>
    </row>
    <row r="9532" spans="1:2" x14ac:dyDescent="0.25">
      <c r="A9532" s="4">
        <v>9527</v>
      </c>
      <c r="B9532" s="3" t="str">
        <f>"00678161"</f>
        <v>00678161</v>
      </c>
    </row>
    <row r="9533" spans="1:2" x14ac:dyDescent="0.25">
      <c r="A9533" s="4">
        <v>9528</v>
      </c>
      <c r="B9533" s="3" t="str">
        <f>"00678170"</f>
        <v>00678170</v>
      </c>
    </row>
    <row r="9534" spans="1:2" x14ac:dyDescent="0.25">
      <c r="A9534" s="4">
        <v>9529</v>
      </c>
      <c r="B9534" s="3" t="str">
        <f>"00678176"</f>
        <v>00678176</v>
      </c>
    </row>
    <row r="9535" spans="1:2" x14ac:dyDescent="0.25">
      <c r="A9535" s="4">
        <v>9530</v>
      </c>
      <c r="B9535" s="3" t="str">
        <f>"00678179"</f>
        <v>00678179</v>
      </c>
    </row>
    <row r="9536" spans="1:2" x14ac:dyDescent="0.25">
      <c r="A9536" s="4">
        <v>9531</v>
      </c>
      <c r="B9536" s="3" t="str">
        <f>"00678184"</f>
        <v>00678184</v>
      </c>
    </row>
    <row r="9537" spans="1:2" x14ac:dyDescent="0.25">
      <c r="A9537" s="4">
        <v>9532</v>
      </c>
      <c r="B9537" s="3" t="str">
        <f>"00678190"</f>
        <v>00678190</v>
      </c>
    </row>
    <row r="9538" spans="1:2" x14ac:dyDescent="0.25">
      <c r="A9538" s="4">
        <v>9533</v>
      </c>
      <c r="B9538" s="3" t="str">
        <f>"00678194"</f>
        <v>00678194</v>
      </c>
    </row>
    <row r="9539" spans="1:2" x14ac:dyDescent="0.25">
      <c r="A9539" s="4">
        <v>9534</v>
      </c>
      <c r="B9539" s="3" t="str">
        <f>"00678196"</f>
        <v>00678196</v>
      </c>
    </row>
    <row r="9540" spans="1:2" x14ac:dyDescent="0.25">
      <c r="A9540" s="4">
        <v>9535</v>
      </c>
      <c r="B9540" s="3" t="str">
        <f>"00678206"</f>
        <v>00678206</v>
      </c>
    </row>
    <row r="9541" spans="1:2" x14ac:dyDescent="0.25">
      <c r="A9541" s="4">
        <v>9536</v>
      </c>
      <c r="B9541" s="3" t="str">
        <f>"00678226"</f>
        <v>00678226</v>
      </c>
    </row>
    <row r="9542" spans="1:2" x14ac:dyDescent="0.25">
      <c r="A9542" s="4">
        <v>9537</v>
      </c>
      <c r="B9542" s="3" t="str">
        <f>"00678229"</f>
        <v>00678229</v>
      </c>
    </row>
    <row r="9543" spans="1:2" x14ac:dyDescent="0.25">
      <c r="A9543" s="4">
        <v>9538</v>
      </c>
      <c r="B9543" s="3" t="str">
        <f>"00678233"</f>
        <v>00678233</v>
      </c>
    </row>
    <row r="9544" spans="1:2" x14ac:dyDescent="0.25">
      <c r="A9544" s="4">
        <v>9539</v>
      </c>
      <c r="B9544" s="3" t="str">
        <f>"00678237"</f>
        <v>00678237</v>
      </c>
    </row>
    <row r="9545" spans="1:2" x14ac:dyDescent="0.25">
      <c r="A9545" s="4">
        <v>9540</v>
      </c>
      <c r="B9545" s="3" t="str">
        <f>"00678241"</f>
        <v>00678241</v>
      </c>
    </row>
    <row r="9546" spans="1:2" x14ac:dyDescent="0.25">
      <c r="A9546" s="4">
        <v>9541</v>
      </c>
      <c r="B9546" s="3" t="str">
        <f>"00678249"</f>
        <v>00678249</v>
      </c>
    </row>
    <row r="9547" spans="1:2" x14ac:dyDescent="0.25">
      <c r="A9547" s="4">
        <v>9542</v>
      </c>
      <c r="B9547" s="3" t="str">
        <f>"00678275"</f>
        <v>00678275</v>
      </c>
    </row>
    <row r="9548" spans="1:2" x14ac:dyDescent="0.25">
      <c r="A9548" s="4">
        <v>9543</v>
      </c>
      <c r="B9548" s="3" t="str">
        <f>"00678276"</f>
        <v>00678276</v>
      </c>
    </row>
    <row r="9549" spans="1:2" x14ac:dyDescent="0.25">
      <c r="A9549" s="4">
        <v>9544</v>
      </c>
      <c r="B9549" s="3" t="str">
        <f>"00678281"</f>
        <v>00678281</v>
      </c>
    </row>
    <row r="9550" spans="1:2" x14ac:dyDescent="0.25">
      <c r="A9550" s="4">
        <v>9545</v>
      </c>
      <c r="B9550" s="3" t="str">
        <f>"00678282"</f>
        <v>00678282</v>
      </c>
    </row>
    <row r="9551" spans="1:2" x14ac:dyDescent="0.25">
      <c r="A9551" s="4">
        <v>9546</v>
      </c>
      <c r="B9551" s="3" t="str">
        <f>"00678287"</f>
        <v>00678287</v>
      </c>
    </row>
    <row r="9552" spans="1:2" x14ac:dyDescent="0.25">
      <c r="A9552" s="4">
        <v>9547</v>
      </c>
      <c r="B9552" s="3" t="str">
        <f>"00678288"</f>
        <v>00678288</v>
      </c>
    </row>
    <row r="9553" spans="1:2" x14ac:dyDescent="0.25">
      <c r="A9553" s="4">
        <v>9548</v>
      </c>
      <c r="B9553" s="3" t="str">
        <f>"00678290"</f>
        <v>00678290</v>
      </c>
    </row>
    <row r="9554" spans="1:2" x14ac:dyDescent="0.25">
      <c r="A9554" s="4">
        <v>9549</v>
      </c>
      <c r="B9554" s="3" t="str">
        <f>"00678296"</f>
        <v>00678296</v>
      </c>
    </row>
    <row r="9555" spans="1:2" x14ac:dyDescent="0.25">
      <c r="A9555" s="4">
        <v>9550</v>
      </c>
      <c r="B9555" s="3" t="str">
        <f>"00678301"</f>
        <v>00678301</v>
      </c>
    </row>
    <row r="9556" spans="1:2" x14ac:dyDescent="0.25">
      <c r="A9556" s="4">
        <v>9551</v>
      </c>
      <c r="B9556" s="3" t="str">
        <f>"00678302"</f>
        <v>00678302</v>
      </c>
    </row>
    <row r="9557" spans="1:2" x14ac:dyDescent="0.25">
      <c r="A9557" s="4">
        <v>9552</v>
      </c>
      <c r="B9557" s="3" t="str">
        <f>"00678313"</f>
        <v>00678313</v>
      </c>
    </row>
    <row r="9558" spans="1:2" x14ac:dyDescent="0.25">
      <c r="A9558" s="4">
        <v>9553</v>
      </c>
      <c r="B9558" s="3" t="str">
        <f>"00678314"</f>
        <v>00678314</v>
      </c>
    </row>
    <row r="9559" spans="1:2" x14ac:dyDescent="0.25">
      <c r="A9559" s="4">
        <v>9554</v>
      </c>
      <c r="B9559" s="3" t="str">
        <f>"00678333"</f>
        <v>00678333</v>
      </c>
    </row>
    <row r="9560" spans="1:2" x14ac:dyDescent="0.25">
      <c r="A9560" s="4">
        <v>9555</v>
      </c>
      <c r="B9560" s="3" t="str">
        <f>"00678336"</f>
        <v>00678336</v>
      </c>
    </row>
    <row r="9561" spans="1:2" x14ac:dyDescent="0.25">
      <c r="A9561" s="4">
        <v>9556</v>
      </c>
      <c r="B9561" s="3" t="str">
        <f>"00678342"</f>
        <v>00678342</v>
      </c>
    </row>
    <row r="9562" spans="1:2" x14ac:dyDescent="0.25">
      <c r="A9562" s="4">
        <v>9557</v>
      </c>
      <c r="B9562" s="3" t="str">
        <f>"00678354"</f>
        <v>00678354</v>
      </c>
    </row>
    <row r="9563" spans="1:2" x14ac:dyDescent="0.25">
      <c r="A9563" s="4">
        <v>9558</v>
      </c>
      <c r="B9563" s="3" t="str">
        <f>"00678362"</f>
        <v>00678362</v>
      </c>
    </row>
    <row r="9564" spans="1:2" x14ac:dyDescent="0.25">
      <c r="A9564" s="4">
        <v>9559</v>
      </c>
      <c r="B9564" s="3" t="str">
        <f>"00678371"</f>
        <v>00678371</v>
      </c>
    </row>
    <row r="9565" spans="1:2" x14ac:dyDescent="0.25">
      <c r="A9565" s="4">
        <v>9560</v>
      </c>
      <c r="B9565" s="3" t="str">
        <f>"00678378"</f>
        <v>00678378</v>
      </c>
    </row>
    <row r="9566" spans="1:2" x14ac:dyDescent="0.25">
      <c r="A9566" s="4">
        <v>9561</v>
      </c>
      <c r="B9566" s="3" t="str">
        <f>"00678391"</f>
        <v>00678391</v>
      </c>
    </row>
    <row r="9567" spans="1:2" x14ac:dyDescent="0.25">
      <c r="A9567" s="4">
        <v>9562</v>
      </c>
      <c r="B9567" s="3" t="str">
        <f>"00678393"</f>
        <v>00678393</v>
      </c>
    </row>
    <row r="9568" spans="1:2" x14ac:dyDescent="0.25">
      <c r="A9568" s="4">
        <v>9563</v>
      </c>
      <c r="B9568" s="3" t="str">
        <f>"00678398"</f>
        <v>00678398</v>
      </c>
    </row>
    <row r="9569" spans="1:2" x14ac:dyDescent="0.25">
      <c r="A9569" s="4">
        <v>9564</v>
      </c>
      <c r="B9569" s="3" t="str">
        <f>"00678400"</f>
        <v>00678400</v>
      </c>
    </row>
    <row r="9570" spans="1:2" x14ac:dyDescent="0.25">
      <c r="A9570" s="4">
        <v>9565</v>
      </c>
      <c r="B9570" s="3" t="str">
        <f>"00678403"</f>
        <v>00678403</v>
      </c>
    </row>
    <row r="9571" spans="1:2" x14ac:dyDescent="0.25">
      <c r="A9571" s="4">
        <v>9566</v>
      </c>
      <c r="B9571" s="3" t="str">
        <f>"00678414"</f>
        <v>00678414</v>
      </c>
    </row>
    <row r="9572" spans="1:2" x14ac:dyDescent="0.25">
      <c r="A9572" s="4">
        <v>9567</v>
      </c>
      <c r="B9572" s="3" t="str">
        <f>"00678415"</f>
        <v>00678415</v>
      </c>
    </row>
    <row r="9573" spans="1:2" x14ac:dyDescent="0.25">
      <c r="A9573" s="4">
        <v>9568</v>
      </c>
      <c r="B9573" s="3" t="str">
        <f>"00678417"</f>
        <v>00678417</v>
      </c>
    </row>
    <row r="9574" spans="1:2" x14ac:dyDescent="0.25">
      <c r="A9574" s="4">
        <v>9569</v>
      </c>
      <c r="B9574" s="3" t="str">
        <f>"00678420"</f>
        <v>00678420</v>
      </c>
    </row>
    <row r="9575" spans="1:2" x14ac:dyDescent="0.25">
      <c r="A9575" s="4">
        <v>9570</v>
      </c>
      <c r="B9575" s="3" t="str">
        <f>"00678424"</f>
        <v>00678424</v>
      </c>
    </row>
    <row r="9576" spans="1:2" x14ac:dyDescent="0.25">
      <c r="A9576" s="4">
        <v>9571</v>
      </c>
      <c r="B9576" s="3" t="str">
        <f>"00678428"</f>
        <v>00678428</v>
      </c>
    </row>
    <row r="9577" spans="1:2" x14ac:dyDescent="0.25">
      <c r="A9577" s="4">
        <v>9572</v>
      </c>
      <c r="B9577" s="3" t="str">
        <f>"00678429"</f>
        <v>00678429</v>
      </c>
    </row>
    <row r="9578" spans="1:2" x14ac:dyDescent="0.25">
      <c r="A9578" s="4">
        <v>9573</v>
      </c>
      <c r="B9578" s="3" t="str">
        <f>"00678440"</f>
        <v>00678440</v>
      </c>
    </row>
    <row r="9579" spans="1:2" x14ac:dyDescent="0.25">
      <c r="A9579" s="4">
        <v>9574</v>
      </c>
      <c r="B9579" s="3" t="str">
        <f>"00678447"</f>
        <v>00678447</v>
      </c>
    </row>
    <row r="9580" spans="1:2" x14ac:dyDescent="0.25">
      <c r="A9580" s="4">
        <v>9575</v>
      </c>
      <c r="B9580" s="3" t="str">
        <f>"00678450"</f>
        <v>00678450</v>
      </c>
    </row>
    <row r="9581" spans="1:2" x14ac:dyDescent="0.25">
      <c r="A9581" s="4">
        <v>9576</v>
      </c>
      <c r="B9581" s="3" t="str">
        <f>"00678451"</f>
        <v>00678451</v>
      </c>
    </row>
    <row r="9582" spans="1:2" x14ac:dyDescent="0.25">
      <c r="A9582" s="4">
        <v>9577</v>
      </c>
      <c r="B9582" s="3" t="str">
        <f>"00678452"</f>
        <v>00678452</v>
      </c>
    </row>
    <row r="9583" spans="1:2" x14ac:dyDescent="0.25">
      <c r="A9583" s="4">
        <v>9578</v>
      </c>
      <c r="B9583" s="3" t="str">
        <f>"00678461"</f>
        <v>00678461</v>
      </c>
    </row>
    <row r="9584" spans="1:2" x14ac:dyDescent="0.25">
      <c r="A9584" s="4">
        <v>9579</v>
      </c>
      <c r="B9584" s="3" t="str">
        <f>"00678463"</f>
        <v>00678463</v>
      </c>
    </row>
    <row r="9585" spans="1:2" x14ac:dyDescent="0.25">
      <c r="A9585" s="4">
        <v>9580</v>
      </c>
      <c r="B9585" s="3" t="str">
        <f>"00678466"</f>
        <v>00678466</v>
      </c>
    </row>
    <row r="9586" spans="1:2" x14ac:dyDescent="0.25">
      <c r="A9586" s="4">
        <v>9581</v>
      </c>
      <c r="B9586" s="3" t="str">
        <f>"00678467"</f>
        <v>00678467</v>
      </c>
    </row>
    <row r="9587" spans="1:2" x14ac:dyDescent="0.25">
      <c r="A9587" s="4">
        <v>9582</v>
      </c>
      <c r="B9587" s="3" t="str">
        <f>"00678471"</f>
        <v>00678471</v>
      </c>
    </row>
    <row r="9588" spans="1:2" x14ac:dyDescent="0.25">
      <c r="A9588" s="4">
        <v>9583</v>
      </c>
      <c r="B9588" s="3" t="str">
        <f>"00678478"</f>
        <v>00678478</v>
      </c>
    </row>
    <row r="9589" spans="1:2" x14ac:dyDescent="0.25">
      <c r="A9589" s="4">
        <v>9584</v>
      </c>
      <c r="B9589" s="3" t="str">
        <f>"00678480"</f>
        <v>00678480</v>
      </c>
    </row>
    <row r="9590" spans="1:2" x14ac:dyDescent="0.25">
      <c r="A9590" s="4">
        <v>9585</v>
      </c>
      <c r="B9590" s="3" t="str">
        <f>"00678500"</f>
        <v>00678500</v>
      </c>
    </row>
    <row r="9591" spans="1:2" x14ac:dyDescent="0.25">
      <c r="A9591" s="4">
        <v>9586</v>
      </c>
      <c r="B9591" s="3" t="str">
        <f>"00678501"</f>
        <v>00678501</v>
      </c>
    </row>
    <row r="9592" spans="1:2" x14ac:dyDescent="0.25">
      <c r="A9592" s="4">
        <v>9587</v>
      </c>
      <c r="B9592" s="3" t="str">
        <f>"00678504"</f>
        <v>00678504</v>
      </c>
    </row>
    <row r="9593" spans="1:2" x14ac:dyDescent="0.25">
      <c r="A9593" s="4">
        <v>9588</v>
      </c>
      <c r="B9593" s="3" t="str">
        <f>"00678519"</f>
        <v>00678519</v>
      </c>
    </row>
    <row r="9594" spans="1:2" x14ac:dyDescent="0.25">
      <c r="A9594" s="4">
        <v>9589</v>
      </c>
      <c r="B9594" s="3" t="str">
        <f>"00678521"</f>
        <v>00678521</v>
      </c>
    </row>
    <row r="9595" spans="1:2" x14ac:dyDescent="0.25">
      <c r="A9595" s="4">
        <v>9590</v>
      </c>
      <c r="B9595" s="3" t="str">
        <f>"00678531"</f>
        <v>00678531</v>
      </c>
    </row>
    <row r="9596" spans="1:2" x14ac:dyDescent="0.25">
      <c r="A9596" s="4">
        <v>9591</v>
      </c>
      <c r="B9596" s="3" t="str">
        <f>"00678537"</f>
        <v>00678537</v>
      </c>
    </row>
    <row r="9597" spans="1:2" x14ac:dyDescent="0.25">
      <c r="A9597" s="4">
        <v>9592</v>
      </c>
      <c r="B9597" s="3" t="str">
        <f>"00678547"</f>
        <v>00678547</v>
      </c>
    </row>
    <row r="9598" spans="1:2" x14ac:dyDescent="0.25">
      <c r="A9598" s="4">
        <v>9593</v>
      </c>
      <c r="B9598" s="3" t="str">
        <f>"00678554"</f>
        <v>00678554</v>
      </c>
    </row>
    <row r="9599" spans="1:2" x14ac:dyDescent="0.25">
      <c r="A9599" s="4">
        <v>9594</v>
      </c>
      <c r="B9599" s="3" t="str">
        <f>"00678557"</f>
        <v>00678557</v>
      </c>
    </row>
    <row r="9600" spans="1:2" x14ac:dyDescent="0.25">
      <c r="A9600" s="4">
        <v>9595</v>
      </c>
      <c r="B9600" s="3" t="str">
        <f>"00678561"</f>
        <v>00678561</v>
      </c>
    </row>
    <row r="9601" spans="1:2" x14ac:dyDescent="0.25">
      <c r="A9601" s="4">
        <v>9596</v>
      </c>
      <c r="B9601" s="3" t="str">
        <f>"00678563"</f>
        <v>00678563</v>
      </c>
    </row>
    <row r="9602" spans="1:2" x14ac:dyDescent="0.25">
      <c r="A9602" s="4">
        <v>9597</v>
      </c>
      <c r="B9602" s="3" t="str">
        <f>"00678569"</f>
        <v>00678569</v>
      </c>
    </row>
    <row r="9603" spans="1:2" x14ac:dyDescent="0.25">
      <c r="A9603" s="4">
        <v>9598</v>
      </c>
      <c r="B9603" s="3" t="str">
        <f>"00678570"</f>
        <v>00678570</v>
      </c>
    </row>
    <row r="9604" spans="1:2" x14ac:dyDescent="0.25">
      <c r="A9604" s="4">
        <v>9599</v>
      </c>
      <c r="B9604" s="3" t="str">
        <f>"00678574"</f>
        <v>00678574</v>
      </c>
    </row>
    <row r="9605" spans="1:2" x14ac:dyDescent="0.25">
      <c r="A9605" s="4">
        <v>9600</v>
      </c>
      <c r="B9605" s="3" t="str">
        <f>"00678586"</f>
        <v>00678586</v>
      </c>
    </row>
    <row r="9606" spans="1:2" x14ac:dyDescent="0.25">
      <c r="A9606" s="4">
        <v>9601</v>
      </c>
      <c r="B9606" s="3" t="str">
        <f>"00678588"</f>
        <v>00678588</v>
      </c>
    </row>
    <row r="9607" spans="1:2" x14ac:dyDescent="0.25">
      <c r="A9607" s="4">
        <v>9602</v>
      </c>
      <c r="B9607" s="3" t="str">
        <f>"00678592"</f>
        <v>00678592</v>
      </c>
    </row>
    <row r="9608" spans="1:2" x14ac:dyDescent="0.25">
      <c r="A9608" s="4">
        <v>9603</v>
      </c>
      <c r="B9608" s="3" t="str">
        <f>"00678599"</f>
        <v>00678599</v>
      </c>
    </row>
    <row r="9609" spans="1:2" x14ac:dyDescent="0.25">
      <c r="A9609" s="4">
        <v>9604</v>
      </c>
      <c r="B9609" s="3" t="str">
        <f>"00678624"</f>
        <v>00678624</v>
      </c>
    </row>
    <row r="9610" spans="1:2" x14ac:dyDescent="0.25">
      <c r="A9610" s="4">
        <v>9605</v>
      </c>
      <c r="B9610" s="3" t="str">
        <f>"00678627"</f>
        <v>00678627</v>
      </c>
    </row>
    <row r="9611" spans="1:2" x14ac:dyDescent="0.25">
      <c r="A9611" s="4">
        <v>9606</v>
      </c>
      <c r="B9611" s="3" t="str">
        <f>"00678637"</f>
        <v>00678637</v>
      </c>
    </row>
    <row r="9612" spans="1:2" x14ac:dyDescent="0.25">
      <c r="A9612" s="4">
        <v>9607</v>
      </c>
      <c r="B9612" s="3" t="str">
        <f>"00678649"</f>
        <v>00678649</v>
      </c>
    </row>
    <row r="9613" spans="1:2" x14ac:dyDescent="0.25">
      <c r="A9613" s="4">
        <v>9608</v>
      </c>
      <c r="B9613" s="3" t="str">
        <f>"00678654"</f>
        <v>00678654</v>
      </c>
    </row>
    <row r="9614" spans="1:2" x14ac:dyDescent="0.25">
      <c r="A9614" s="4">
        <v>9609</v>
      </c>
      <c r="B9614" s="3" t="str">
        <f>"00678655"</f>
        <v>00678655</v>
      </c>
    </row>
    <row r="9615" spans="1:2" x14ac:dyDescent="0.25">
      <c r="A9615" s="4">
        <v>9610</v>
      </c>
      <c r="B9615" s="3" t="str">
        <f>"00678662"</f>
        <v>00678662</v>
      </c>
    </row>
    <row r="9616" spans="1:2" x14ac:dyDescent="0.25">
      <c r="A9616" s="4">
        <v>9611</v>
      </c>
      <c r="B9616" s="3" t="str">
        <f>"00678664"</f>
        <v>00678664</v>
      </c>
    </row>
    <row r="9617" spans="1:2" x14ac:dyDescent="0.25">
      <c r="A9617" s="4">
        <v>9612</v>
      </c>
      <c r="B9617" s="3" t="str">
        <f>"00678671"</f>
        <v>00678671</v>
      </c>
    </row>
    <row r="9618" spans="1:2" x14ac:dyDescent="0.25">
      <c r="A9618" s="4">
        <v>9613</v>
      </c>
      <c r="B9618" s="3" t="str">
        <f>"00678675"</f>
        <v>00678675</v>
      </c>
    </row>
    <row r="9619" spans="1:2" x14ac:dyDescent="0.25">
      <c r="A9619" s="4">
        <v>9614</v>
      </c>
      <c r="B9619" s="3" t="str">
        <f>"00678687"</f>
        <v>00678687</v>
      </c>
    </row>
    <row r="9620" spans="1:2" x14ac:dyDescent="0.25">
      <c r="A9620" s="4">
        <v>9615</v>
      </c>
      <c r="B9620" s="3" t="str">
        <f>"00678693"</f>
        <v>00678693</v>
      </c>
    </row>
    <row r="9621" spans="1:2" x14ac:dyDescent="0.25">
      <c r="A9621" s="4">
        <v>9616</v>
      </c>
      <c r="B9621" s="3" t="str">
        <f>"00678706"</f>
        <v>00678706</v>
      </c>
    </row>
    <row r="9622" spans="1:2" x14ac:dyDescent="0.25">
      <c r="A9622" s="4">
        <v>9617</v>
      </c>
      <c r="B9622" s="3" t="str">
        <f>"00678712"</f>
        <v>00678712</v>
      </c>
    </row>
    <row r="9623" spans="1:2" x14ac:dyDescent="0.25">
      <c r="A9623" s="4">
        <v>9618</v>
      </c>
      <c r="B9623" s="3" t="str">
        <f>"00678723"</f>
        <v>00678723</v>
      </c>
    </row>
    <row r="9624" spans="1:2" x14ac:dyDescent="0.25">
      <c r="A9624" s="4">
        <v>9619</v>
      </c>
      <c r="B9624" s="3" t="str">
        <f>"00678730"</f>
        <v>00678730</v>
      </c>
    </row>
    <row r="9625" spans="1:2" x14ac:dyDescent="0.25">
      <c r="A9625" s="4">
        <v>9620</v>
      </c>
      <c r="B9625" s="3" t="str">
        <f>"00678736"</f>
        <v>00678736</v>
      </c>
    </row>
    <row r="9626" spans="1:2" x14ac:dyDescent="0.25">
      <c r="A9626" s="4">
        <v>9621</v>
      </c>
      <c r="B9626" s="3" t="str">
        <f>"00678746"</f>
        <v>00678746</v>
      </c>
    </row>
    <row r="9627" spans="1:2" x14ac:dyDescent="0.25">
      <c r="A9627" s="4">
        <v>9622</v>
      </c>
      <c r="B9627" s="3" t="str">
        <f>"00678753"</f>
        <v>00678753</v>
      </c>
    </row>
    <row r="9628" spans="1:2" x14ac:dyDescent="0.25">
      <c r="A9628" s="4">
        <v>9623</v>
      </c>
      <c r="B9628" s="3" t="str">
        <f>"00678756"</f>
        <v>00678756</v>
      </c>
    </row>
    <row r="9629" spans="1:2" x14ac:dyDescent="0.25">
      <c r="A9629" s="4">
        <v>9624</v>
      </c>
      <c r="B9629" s="3" t="str">
        <f>"00678766"</f>
        <v>00678766</v>
      </c>
    </row>
    <row r="9630" spans="1:2" x14ac:dyDescent="0.25">
      <c r="A9630" s="4">
        <v>9625</v>
      </c>
      <c r="B9630" s="3" t="str">
        <f>"00678770"</f>
        <v>00678770</v>
      </c>
    </row>
    <row r="9631" spans="1:2" x14ac:dyDescent="0.25">
      <c r="A9631" s="4">
        <v>9626</v>
      </c>
      <c r="B9631" s="3" t="str">
        <f>"00678772"</f>
        <v>00678772</v>
      </c>
    </row>
    <row r="9632" spans="1:2" x14ac:dyDescent="0.25">
      <c r="A9632" s="4">
        <v>9627</v>
      </c>
      <c r="B9632" s="3" t="str">
        <f>"00678774"</f>
        <v>00678774</v>
      </c>
    </row>
    <row r="9633" spans="1:2" x14ac:dyDescent="0.25">
      <c r="A9633" s="4">
        <v>9628</v>
      </c>
      <c r="B9633" s="3" t="str">
        <f>"00678775"</f>
        <v>00678775</v>
      </c>
    </row>
    <row r="9634" spans="1:2" x14ac:dyDescent="0.25">
      <c r="A9634" s="4">
        <v>9629</v>
      </c>
      <c r="B9634" s="3" t="str">
        <f>"00678778"</f>
        <v>00678778</v>
      </c>
    </row>
    <row r="9635" spans="1:2" x14ac:dyDescent="0.25">
      <c r="A9635" s="4">
        <v>9630</v>
      </c>
      <c r="B9635" s="3" t="str">
        <f>"00678781"</f>
        <v>00678781</v>
      </c>
    </row>
    <row r="9636" spans="1:2" x14ac:dyDescent="0.25">
      <c r="A9636" s="4">
        <v>9631</v>
      </c>
      <c r="B9636" s="3" t="str">
        <f>"00678788"</f>
        <v>00678788</v>
      </c>
    </row>
    <row r="9637" spans="1:2" x14ac:dyDescent="0.25">
      <c r="A9637" s="4">
        <v>9632</v>
      </c>
      <c r="B9637" s="3" t="str">
        <f>"00678800"</f>
        <v>00678800</v>
      </c>
    </row>
    <row r="9638" spans="1:2" x14ac:dyDescent="0.25">
      <c r="A9638" s="4">
        <v>9633</v>
      </c>
      <c r="B9638" s="3" t="str">
        <f>"00678809"</f>
        <v>00678809</v>
      </c>
    </row>
    <row r="9639" spans="1:2" x14ac:dyDescent="0.25">
      <c r="A9639" s="4">
        <v>9634</v>
      </c>
      <c r="B9639" s="3" t="str">
        <f>"00678812"</f>
        <v>00678812</v>
      </c>
    </row>
    <row r="9640" spans="1:2" x14ac:dyDescent="0.25">
      <c r="A9640" s="4">
        <v>9635</v>
      </c>
      <c r="B9640" s="3" t="str">
        <f>"00678815"</f>
        <v>00678815</v>
      </c>
    </row>
    <row r="9641" spans="1:2" x14ac:dyDescent="0.25">
      <c r="A9641" s="4">
        <v>9636</v>
      </c>
      <c r="B9641" s="3" t="str">
        <f>"00678829"</f>
        <v>00678829</v>
      </c>
    </row>
    <row r="9642" spans="1:2" x14ac:dyDescent="0.25">
      <c r="A9642" s="4">
        <v>9637</v>
      </c>
      <c r="B9642" s="3" t="str">
        <f>"00678831"</f>
        <v>00678831</v>
      </c>
    </row>
    <row r="9643" spans="1:2" x14ac:dyDescent="0.25">
      <c r="A9643" s="4">
        <v>9638</v>
      </c>
      <c r="B9643" s="3" t="str">
        <f>"00678832"</f>
        <v>00678832</v>
      </c>
    </row>
    <row r="9644" spans="1:2" x14ac:dyDescent="0.25">
      <c r="A9644" s="4">
        <v>9639</v>
      </c>
      <c r="B9644" s="3" t="str">
        <f>"00678835"</f>
        <v>00678835</v>
      </c>
    </row>
    <row r="9645" spans="1:2" x14ac:dyDescent="0.25">
      <c r="A9645" s="4">
        <v>9640</v>
      </c>
      <c r="B9645" s="3" t="str">
        <f>"00678837"</f>
        <v>00678837</v>
      </c>
    </row>
    <row r="9646" spans="1:2" x14ac:dyDescent="0.25">
      <c r="A9646" s="4">
        <v>9641</v>
      </c>
      <c r="B9646" s="3" t="str">
        <f>"00678846"</f>
        <v>00678846</v>
      </c>
    </row>
    <row r="9647" spans="1:2" x14ac:dyDescent="0.25">
      <c r="A9647" s="4">
        <v>9642</v>
      </c>
      <c r="B9647" s="3" t="str">
        <f>"00678848"</f>
        <v>00678848</v>
      </c>
    </row>
    <row r="9648" spans="1:2" x14ac:dyDescent="0.25">
      <c r="A9648" s="4">
        <v>9643</v>
      </c>
      <c r="B9648" s="3" t="str">
        <f>"00678857"</f>
        <v>00678857</v>
      </c>
    </row>
    <row r="9649" spans="1:2" x14ac:dyDescent="0.25">
      <c r="A9649" s="4">
        <v>9644</v>
      </c>
      <c r="B9649" s="3" t="str">
        <f>"00678861"</f>
        <v>00678861</v>
      </c>
    </row>
    <row r="9650" spans="1:2" x14ac:dyDescent="0.25">
      <c r="A9650" s="4">
        <v>9645</v>
      </c>
      <c r="B9650" s="3" t="str">
        <f>"00678868"</f>
        <v>00678868</v>
      </c>
    </row>
    <row r="9651" spans="1:2" x14ac:dyDescent="0.25">
      <c r="A9651" s="4">
        <v>9646</v>
      </c>
      <c r="B9651" s="3" t="str">
        <f>"00678870"</f>
        <v>00678870</v>
      </c>
    </row>
    <row r="9652" spans="1:2" x14ac:dyDescent="0.25">
      <c r="A9652" s="4">
        <v>9647</v>
      </c>
      <c r="B9652" s="3" t="str">
        <f>"00678882"</f>
        <v>00678882</v>
      </c>
    </row>
    <row r="9653" spans="1:2" x14ac:dyDescent="0.25">
      <c r="A9653" s="4">
        <v>9648</v>
      </c>
      <c r="B9653" s="3" t="str">
        <f>"00678885"</f>
        <v>00678885</v>
      </c>
    </row>
    <row r="9654" spans="1:2" x14ac:dyDescent="0.25">
      <c r="A9654" s="4">
        <v>9649</v>
      </c>
      <c r="B9654" s="3" t="str">
        <f>"00678890"</f>
        <v>00678890</v>
      </c>
    </row>
    <row r="9655" spans="1:2" x14ac:dyDescent="0.25">
      <c r="A9655" s="4">
        <v>9650</v>
      </c>
      <c r="B9655" s="3" t="str">
        <f>"00678894"</f>
        <v>00678894</v>
      </c>
    </row>
    <row r="9656" spans="1:2" x14ac:dyDescent="0.25">
      <c r="A9656" s="4">
        <v>9651</v>
      </c>
      <c r="B9656" s="3" t="str">
        <f>"00678895"</f>
        <v>00678895</v>
      </c>
    </row>
    <row r="9657" spans="1:2" x14ac:dyDescent="0.25">
      <c r="A9657" s="4">
        <v>9652</v>
      </c>
      <c r="B9657" s="3" t="str">
        <f>"00678897"</f>
        <v>00678897</v>
      </c>
    </row>
    <row r="9658" spans="1:2" x14ac:dyDescent="0.25">
      <c r="A9658" s="4">
        <v>9653</v>
      </c>
      <c r="B9658" s="3" t="str">
        <f>"00678900"</f>
        <v>00678900</v>
      </c>
    </row>
    <row r="9659" spans="1:2" x14ac:dyDescent="0.25">
      <c r="A9659" s="4">
        <v>9654</v>
      </c>
      <c r="B9659" s="3" t="str">
        <f>"00678912"</f>
        <v>00678912</v>
      </c>
    </row>
    <row r="9660" spans="1:2" x14ac:dyDescent="0.25">
      <c r="A9660" s="4">
        <v>9655</v>
      </c>
      <c r="B9660" s="3" t="str">
        <f>"00678914"</f>
        <v>00678914</v>
      </c>
    </row>
    <row r="9661" spans="1:2" x14ac:dyDescent="0.25">
      <c r="A9661" s="4">
        <v>9656</v>
      </c>
      <c r="B9661" s="3" t="str">
        <f>"00678916"</f>
        <v>00678916</v>
      </c>
    </row>
    <row r="9662" spans="1:2" x14ac:dyDescent="0.25">
      <c r="A9662" s="4">
        <v>9657</v>
      </c>
      <c r="B9662" s="3" t="str">
        <f>"00678926"</f>
        <v>00678926</v>
      </c>
    </row>
    <row r="9663" spans="1:2" x14ac:dyDescent="0.25">
      <c r="A9663" s="4">
        <v>9658</v>
      </c>
      <c r="B9663" s="3" t="str">
        <f>"00678937"</f>
        <v>00678937</v>
      </c>
    </row>
    <row r="9664" spans="1:2" x14ac:dyDescent="0.25">
      <c r="A9664" s="4">
        <v>9659</v>
      </c>
      <c r="B9664" s="3" t="str">
        <f>"00678942"</f>
        <v>00678942</v>
      </c>
    </row>
    <row r="9665" spans="1:2" x14ac:dyDescent="0.25">
      <c r="A9665" s="4">
        <v>9660</v>
      </c>
      <c r="B9665" s="3" t="str">
        <f>"00678949"</f>
        <v>00678949</v>
      </c>
    </row>
    <row r="9666" spans="1:2" x14ac:dyDescent="0.25">
      <c r="A9666" s="4">
        <v>9661</v>
      </c>
      <c r="B9666" s="3" t="str">
        <f>"00678951"</f>
        <v>00678951</v>
      </c>
    </row>
    <row r="9667" spans="1:2" x14ac:dyDescent="0.25">
      <c r="A9667" s="4">
        <v>9662</v>
      </c>
      <c r="B9667" s="3" t="str">
        <f>"00678957"</f>
        <v>00678957</v>
      </c>
    </row>
    <row r="9668" spans="1:2" x14ac:dyDescent="0.25">
      <c r="A9668" s="4">
        <v>9663</v>
      </c>
      <c r="B9668" s="3" t="str">
        <f>"00678958"</f>
        <v>00678958</v>
      </c>
    </row>
    <row r="9669" spans="1:2" x14ac:dyDescent="0.25">
      <c r="A9669" s="4">
        <v>9664</v>
      </c>
      <c r="B9669" s="3" t="str">
        <f>"00678962"</f>
        <v>00678962</v>
      </c>
    </row>
    <row r="9670" spans="1:2" x14ac:dyDescent="0.25">
      <c r="A9670" s="4">
        <v>9665</v>
      </c>
      <c r="B9670" s="3" t="str">
        <f>"00678993"</f>
        <v>00678993</v>
      </c>
    </row>
    <row r="9671" spans="1:2" x14ac:dyDescent="0.25">
      <c r="A9671" s="4">
        <v>9666</v>
      </c>
      <c r="B9671" s="3" t="str">
        <f>"00678995"</f>
        <v>00678995</v>
      </c>
    </row>
    <row r="9672" spans="1:2" x14ac:dyDescent="0.25">
      <c r="A9672" s="4">
        <v>9667</v>
      </c>
      <c r="B9672" s="3" t="str">
        <f>"00679002"</f>
        <v>00679002</v>
      </c>
    </row>
    <row r="9673" spans="1:2" x14ac:dyDescent="0.25">
      <c r="A9673" s="4">
        <v>9668</v>
      </c>
      <c r="B9673" s="3" t="str">
        <f>"00679012"</f>
        <v>00679012</v>
      </c>
    </row>
    <row r="9674" spans="1:2" x14ac:dyDescent="0.25">
      <c r="A9674" s="4">
        <v>9669</v>
      </c>
      <c r="B9674" s="3" t="str">
        <f>"00679014"</f>
        <v>00679014</v>
      </c>
    </row>
    <row r="9675" spans="1:2" x14ac:dyDescent="0.25">
      <c r="A9675" s="4">
        <v>9670</v>
      </c>
      <c r="B9675" s="3" t="str">
        <f>"00679028"</f>
        <v>00679028</v>
      </c>
    </row>
    <row r="9676" spans="1:2" x14ac:dyDescent="0.25">
      <c r="A9676" s="4">
        <v>9671</v>
      </c>
      <c r="B9676" s="3" t="str">
        <f>"00679053"</f>
        <v>00679053</v>
      </c>
    </row>
    <row r="9677" spans="1:2" x14ac:dyDescent="0.25">
      <c r="A9677" s="4">
        <v>9672</v>
      </c>
      <c r="B9677" s="3" t="str">
        <f>"00679077"</f>
        <v>00679077</v>
      </c>
    </row>
    <row r="9678" spans="1:2" x14ac:dyDescent="0.25">
      <c r="A9678" s="4">
        <v>9673</v>
      </c>
      <c r="B9678" s="3" t="str">
        <f>"00679083"</f>
        <v>00679083</v>
      </c>
    </row>
    <row r="9679" spans="1:2" x14ac:dyDescent="0.25">
      <c r="A9679" s="4">
        <v>9674</v>
      </c>
      <c r="B9679" s="3" t="str">
        <f>"00679086"</f>
        <v>00679086</v>
      </c>
    </row>
    <row r="9680" spans="1:2" x14ac:dyDescent="0.25">
      <c r="A9680" s="4">
        <v>9675</v>
      </c>
      <c r="B9680" s="3" t="str">
        <f>"00679097"</f>
        <v>00679097</v>
      </c>
    </row>
    <row r="9681" spans="1:2" x14ac:dyDescent="0.25">
      <c r="A9681" s="4">
        <v>9676</v>
      </c>
      <c r="B9681" s="3" t="str">
        <f>"00679107"</f>
        <v>00679107</v>
      </c>
    </row>
    <row r="9682" spans="1:2" x14ac:dyDescent="0.25">
      <c r="A9682" s="4">
        <v>9677</v>
      </c>
      <c r="B9682" s="3" t="str">
        <f>"00679129"</f>
        <v>00679129</v>
      </c>
    </row>
    <row r="9683" spans="1:2" x14ac:dyDescent="0.25">
      <c r="A9683" s="4">
        <v>9678</v>
      </c>
      <c r="B9683" s="3" t="str">
        <f>"00679137"</f>
        <v>00679137</v>
      </c>
    </row>
    <row r="9684" spans="1:2" x14ac:dyDescent="0.25">
      <c r="A9684" s="4">
        <v>9679</v>
      </c>
      <c r="B9684" s="3" t="str">
        <f>"00679147"</f>
        <v>00679147</v>
      </c>
    </row>
    <row r="9685" spans="1:2" x14ac:dyDescent="0.25">
      <c r="A9685" s="4">
        <v>9680</v>
      </c>
      <c r="B9685" s="3" t="str">
        <f>"00679151"</f>
        <v>00679151</v>
      </c>
    </row>
    <row r="9686" spans="1:2" x14ac:dyDescent="0.25">
      <c r="A9686" s="4">
        <v>9681</v>
      </c>
      <c r="B9686" s="3" t="str">
        <f>"00679152"</f>
        <v>00679152</v>
      </c>
    </row>
    <row r="9687" spans="1:2" x14ac:dyDescent="0.25">
      <c r="A9687" s="4">
        <v>9682</v>
      </c>
      <c r="B9687" s="3" t="str">
        <f>"00679153"</f>
        <v>00679153</v>
      </c>
    </row>
    <row r="9688" spans="1:2" x14ac:dyDescent="0.25">
      <c r="A9688" s="4">
        <v>9683</v>
      </c>
      <c r="B9688" s="3" t="str">
        <f>"00679156"</f>
        <v>00679156</v>
      </c>
    </row>
    <row r="9689" spans="1:2" x14ac:dyDescent="0.25">
      <c r="A9689" s="4">
        <v>9684</v>
      </c>
      <c r="B9689" s="3" t="str">
        <f>"00679164"</f>
        <v>00679164</v>
      </c>
    </row>
    <row r="9690" spans="1:2" x14ac:dyDescent="0.25">
      <c r="A9690" s="4">
        <v>9685</v>
      </c>
      <c r="B9690" s="3" t="str">
        <f>"00679166"</f>
        <v>00679166</v>
      </c>
    </row>
    <row r="9691" spans="1:2" x14ac:dyDescent="0.25">
      <c r="A9691" s="4">
        <v>9686</v>
      </c>
      <c r="B9691" s="3" t="str">
        <f>"00679168"</f>
        <v>00679168</v>
      </c>
    </row>
    <row r="9692" spans="1:2" x14ac:dyDescent="0.25">
      <c r="A9692" s="4">
        <v>9687</v>
      </c>
      <c r="B9692" s="3" t="str">
        <f>"00679173"</f>
        <v>00679173</v>
      </c>
    </row>
    <row r="9693" spans="1:2" x14ac:dyDescent="0.25">
      <c r="A9693" s="4">
        <v>9688</v>
      </c>
      <c r="B9693" s="3" t="str">
        <f>"00679195"</f>
        <v>00679195</v>
      </c>
    </row>
    <row r="9694" spans="1:2" x14ac:dyDescent="0.25">
      <c r="A9694" s="4">
        <v>9689</v>
      </c>
      <c r="B9694" s="3" t="str">
        <f>"00679196"</f>
        <v>00679196</v>
      </c>
    </row>
    <row r="9695" spans="1:2" x14ac:dyDescent="0.25">
      <c r="A9695" s="4">
        <v>9690</v>
      </c>
      <c r="B9695" s="3" t="str">
        <f>"00679203"</f>
        <v>00679203</v>
      </c>
    </row>
    <row r="9696" spans="1:2" x14ac:dyDescent="0.25">
      <c r="A9696" s="4">
        <v>9691</v>
      </c>
      <c r="B9696" s="3" t="str">
        <f>"00679204"</f>
        <v>00679204</v>
      </c>
    </row>
    <row r="9697" spans="1:2" x14ac:dyDescent="0.25">
      <c r="A9697" s="4">
        <v>9692</v>
      </c>
      <c r="B9697" s="3" t="str">
        <f>"00679205"</f>
        <v>00679205</v>
      </c>
    </row>
    <row r="9698" spans="1:2" x14ac:dyDescent="0.25">
      <c r="A9698" s="4">
        <v>9693</v>
      </c>
      <c r="B9698" s="3" t="str">
        <f>"00679224"</f>
        <v>00679224</v>
      </c>
    </row>
    <row r="9699" spans="1:2" x14ac:dyDescent="0.25">
      <c r="A9699" s="4">
        <v>9694</v>
      </c>
      <c r="B9699" s="3" t="str">
        <f>"00679247"</f>
        <v>00679247</v>
      </c>
    </row>
    <row r="9700" spans="1:2" x14ac:dyDescent="0.25">
      <c r="A9700" s="4">
        <v>9695</v>
      </c>
      <c r="B9700" s="3" t="str">
        <f>"00679248"</f>
        <v>00679248</v>
      </c>
    </row>
    <row r="9701" spans="1:2" x14ac:dyDescent="0.25">
      <c r="A9701" s="4">
        <v>9696</v>
      </c>
      <c r="B9701" s="3" t="str">
        <f>"00679256"</f>
        <v>00679256</v>
      </c>
    </row>
    <row r="9702" spans="1:2" x14ac:dyDescent="0.25">
      <c r="A9702" s="4">
        <v>9697</v>
      </c>
      <c r="B9702" s="3" t="str">
        <f>"00679270"</f>
        <v>00679270</v>
      </c>
    </row>
    <row r="9703" spans="1:2" x14ac:dyDescent="0.25">
      <c r="A9703" s="4">
        <v>9698</v>
      </c>
      <c r="B9703" s="3" t="str">
        <f>"00679272"</f>
        <v>00679272</v>
      </c>
    </row>
    <row r="9704" spans="1:2" x14ac:dyDescent="0.25">
      <c r="A9704" s="4">
        <v>9699</v>
      </c>
      <c r="B9704" s="3" t="str">
        <f>"00679280"</f>
        <v>00679280</v>
      </c>
    </row>
    <row r="9705" spans="1:2" x14ac:dyDescent="0.25">
      <c r="A9705" s="4">
        <v>9700</v>
      </c>
      <c r="B9705" s="3" t="str">
        <f>"00679288"</f>
        <v>00679288</v>
      </c>
    </row>
    <row r="9706" spans="1:2" x14ac:dyDescent="0.25">
      <c r="A9706" s="4">
        <v>9701</v>
      </c>
      <c r="B9706" s="3" t="str">
        <f>"00679293"</f>
        <v>00679293</v>
      </c>
    </row>
    <row r="9707" spans="1:2" x14ac:dyDescent="0.25">
      <c r="A9707" s="4">
        <v>9702</v>
      </c>
      <c r="B9707" s="3" t="str">
        <f>"00679297"</f>
        <v>00679297</v>
      </c>
    </row>
    <row r="9708" spans="1:2" x14ac:dyDescent="0.25">
      <c r="A9708" s="4">
        <v>9703</v>
      </c>
      <c r="B9708" s="3" t="str">
        <f>"00679299"</f>
        <v>00679299</v>
      </c>
    </row>
    <row r="9709" spans="1:2" x14ac:dyDescent="0.25">
      <c r="A9709" s="4">
        <v>9704</v>
      </c>
      <c r="B9709" s="3" t="str">
        <f>"00679302"</f>
        <v>00679302</v>
      </c>
    </row>
    <row r="9710" spans="1:2" x14ac:dyDescent="0.25">
      <c r="A9710" s="4">
        <v>9705</v>
      </c>
      <c r="B9710" s="3" t="str">
        <f>"00679324"</f>
        <v>00679324</v>
      </c>
    </row>
    <row r="9711" spans="1:2" x14ac:dyDescent="0.25">
      <c r="A9711" s="4">
        <v>9706</v>
      </c>
      <c r="B9711" s="3" t="str">
        <f>"00679334"</f>
        <v>00679334</v>
      </c>
    </row>
    <row r="9712" spans="1:2" x14ac:dyDescent="0.25">
      <c r="A9712" s="4">
        <v>9707</v>
      </c>
      <c r="B9712" s="3" t="str">
        <f>"00679350"</f>
        <v>00679350</v>
      </c>
    </row>
    <row r="9713" spans="1:2" x14ac:dyDescent="0.25">
      <c r="A9713" s="4">
        <v>9708</v>
      </c>
      <c r="B9713" s="3" t="str">
        <f>"00679396"</f>
        <v>00679396</v>
      </c>
    </row>
    <row r="9714" spans="1:2" x14ac:dyDescent="0.25">
      <c r="A9714" s="4">
        <v>9709</v>
      </c>
      <c r="B9714" s="3" t="str">
        <f>"00679400"</f>
        <v>00679400</v>
      </c>
    </row>
    <row r="9715" spans="1:2" x14ac:dyDescent="0.25">
      <c r="A9715" s="4">
        <v>9710</v>
      </c>
      <c r="B9715" s="3" t="str">
        <f>"00679405"</f>
        <v>00679405</v>
      </c>
    </row>
    <row r="9716" spans="1:2" x14ac:dyDescent="0.25">
      <c r="A9716" s="4">
        <v>9711</v>
      </c>
      <c r="B9716" s="3" t="str">
        <f>"00679414"</f>
        <v>00679414</v>
      </c>
    </row>
    <row r="9717" spans="1:2" x14ac:dyDescent="0.25">
      <c r="A9717" s="4">
        <v>9712</v>
      </c>
      <c r="B9717" s="3" t="str">
        <f>"00679420"</f>
        <v>00679420</v>
      </c>
    </row>
    <row r="9718" spans="1:2" x14ac:dyDescent="0.25">
      <c r="A9718" s="4">
        <v>9713</v>
      </c>
      <c r="B9718" s="3" t="str">
        <f>"00679446"</f>
        <v>00679446</v>
      </c>
    </row>
    <row r="9719" spans="1:2" x14ac:dyDescent="0.25">
      <c r="A9719" s="4">
        <v>9714</v>
      </c>
      <c r="B9719" s="3" t="str">
        <f>"00679457"</f>
        <v>00679457</v>
      </c>
    </row>
    <row r="9720" spans="1:2" x14ac:dyDescent="0.25">
      <c r="A9720" s="4">
        <v>9715</v>
      </c>
      <c r="B9720" s="3" t="str">
        <f>"00679460"</f>
        <v>00679460</v>
      </c>
    </row>
    <row r="9721" spans="1:2" x14ac:dyDescent="0.25">
      <c r="A9721" s="4">
        <v>9716</v>
      </c>
      <c r="B9721" s="3" t="str">
        <f>"00679488"</f>
        <v>00679488</v>
      </c>
    </row>
    <row r="9722" spans="1:2" x14ac:dyDescent="0.25">
      <c r="A9722" s="4">
        <v>9717</v>
      </c>
      <c r="B9722" s="3" t="str">
        <f>"00679489"</f>
        <v>00679489</v>
      </c>
    </row>
    <row r="9723" spans="1:2" x14ac:dyDescent="0.25">
      <c r="A9723" s="4">
        <v>9718</v>
      </c>
      <c r="B9723" s="3" t="str">
        <f>"00679491"</f>
        <v>00679491</v>
      </c>
    </row>
    <row r="9724" spans="1:2" x14ac:dyDescent="0.25">
      <c r="A9724" s="4">
        <v>9719</v>
      </c>
      <c r="B9724" s="3" t="str">
        <f>"00679494"</f>
        <v>00679494</v>
      </c>
    </row>
    <row r="9725" spans="1:2" x14ac:dyDescent="0.25">
      <c r="A9725" s="4">
        <v>9720</v>
      </c>
      <c r="B9725" s="3" t="str">
        <f>"00679495"</f>
        <v>00679495</v>
      </c>
    </row>
    <row r="9726" spans="1:2" x14ac:dyDescent="0.25">
      <c r="A9726" s="4">
        <v>9721</v>
      </c>
      <c r="B9726" s="3" t="str">
        <f>"00679498"</f>
        <v>00679498</v>
      </c>
    </row>
    <row r="9727" spans="1:2" x14ac:dyDescent="0.25">
      <c r="A9727" s="4">
        <v>9722</v>
      </c>
      <c r="B9727" s="3" t="str">
        <f>"00679504"</f>
        <v>00679504</v>
      </c>
    </row>
    <row r="9728" spans="1:2" x14ac:dyDescent="0.25">
      <c r="A9728" s="4">
        <v>9723</v>
      </c>
      <c r="B9728" s="3" t="str">
        <f>"00679515"</f>
        <v>00679515</v>
      </c>
    </row>
    <row r="9729" spans="1:2" x14ac:dyDescent="0.25">
      <c r="A9729" s="4">
        <v>9724</v>
      </c>
      <c r="B9729" s="3" t="str">
        <f>"00679519"</f>
        <v>00679519</v>
      </c>
    </row>
    <row r="9730" spans="1:2" x14ac:dyDescent="0.25">
      <c r="A9730" s="4">
        <v>9725</v>
      </c>
      <c r="B9730" s="3" t="str">
        <f>"00679539"</f>
        <v>00679539</v>
      </c>
    </row>
    <row r="9731" spans="1:2" x14ac:dyDescent="0.25">
      <c r="A9731" s="4">
        <v>9726</v>
      </c>
      <c r="B9731" s="3" t="str">
        <f>"00679541"</f>
        <v>00679541</v>
      </c>
    </row>
    <row r="9732" spans="1:2" x14ac:dyDescent="0.25">
      <c r="A9732" s="4">
        <v>9727</v>
      </c>
      <c r="B9732" s="3" t="str">
        <f>"00679554"</f>
        <v>00679554</v>
      </c>
    </row>
    <row r="9733" spans="1:2" x14ac:dyDescent="0.25">
      <c r="A9733" s="4">
        <v>9728</v>
      </c>
      <c r="B9733" s="3" t="str">
        <f>"00679563"</f>
        <v>00679563</v>
      </c>
    </row>
    <row r="9734" spans="1:2" x14ac:dyDescent="0.25">
      <c r="A9734" s="4">
        <v>9729</v>
      </c>
      <c r="B9734" s="3" t="str">
        <f>"00679575"</f>
        <v>00679575</v>
      </c>
    </row>
    <row r="9735" spans="1:2" x14ac:dyDescent="0.25">
      <c r="A9735" s="4">
        <v>9730</v>
      </c>
      <c r="B9735" s="3" t="str">
        <f>"00679576"</f>
        <v>00679576</v>
      </c>
    </row>
    <row r="9736" spans="1:2" x14ac:dyDescent="0.25">
      <c r="A9736" s="4">
        <v>9731</v>
      </c>
      <c r="B9736" s="3" t="str">
        <f>"00679583"</f>
        <v>00679583</v>
      </c>
    </row>
    <row r="9737" spans="1:2" x14ac:dyDescent="0.25">
      <c r="A9737" s="4">
        <v>9732</v>
      </c>
      <c r="B9737" s="3" t="str">
        <f>"00679586"</f>
        <v>00679586</v>
      </c>
    </row>
    <row r="9738" spans="1:2" x14ac:dyDescent="0.25">
      <c r="A9738" s="4">
        <v>9733</v>
      </c>
      <c r="B9738" s="3" t="str">
        <f>"00679587"</f>
        <v>00679587</v>
      </c>
    </row>
    <row r="9739" spans="1:2" x14ac:dyDescent="0.25">
      <c r="A9739" s="4">
        <v>9734</v>
      </c>
      <c r="B9739" s="3" t="str">
        <f>"00679601"</f>
        <v>00679601</v>
      </c>
    </row>
    <row r="9740" spans="1:2" x14ac:dyDescent="0.25">
      <c r="A9740" s="4">
        <v>9735</v>
      </c>
      <c r="B9740" s="3" t="str">
        <f>"00679621"</f>
        <v>00679621</v>
      </c>
    </row>
    <row r="9741" spans="1:2" x14ac:dyDescent="0.25">
      <c r="A9741" s="4">
        <v>9736</v>
      </c>
      <c r="B9741" s="3" t="str">
        <f>"00679644"</f>
        <v>00679644</v>
      </c>
    </row>
    <row r="9742" spans="1:2" x14ac:dyDescent="0.25">
      <c r="A9742" s="4">
        <v>9737</v>
      </c>
      <c r="B9742" s="3" t="str">
        <f>"00679651"</f>
        <v>00679651</v>
      </c>
    </row>
    <row r="9743" spans="1:2" x14ac:dyDescent="0.25">
      <c r="A9743" s="4">
        <v>9738</v>
      </c>
      <c r="B9743" s="3" t="str">
        <f>"00679661"</f>
        <v>00679661</v>
      </c>
    </row>
    <row r="9744" spans="1:2" x14ac:dyDescent="0.25">
      <c r="A9744" s="4">
        <v>9739</v>
      </c>
      <c r="B9744" s="3" t="str">
        <f>"00679663"</f>
        <v>00679663</v>
      </c>
    </row>
    <row r="9745" spans="1:2" x14ac:dyDescent="0.25">
      <c r="A9745" s="4">
        <v>9740</v>
      </c>
      <c r="B9745" s="3" t="str">
        <f>"00679674"</f>
        <v>00679674</v>
      </c>
    </row>
    <row r="9746" spans="1:2" x14ac:dyDescent="0.25">
      <c r="A9746" s="4">
        <v>9741</v>
      </c>
      <c r="B9746" s="3" t="str">
        <f>"00679683"</f>
        <v>00679683</v>
      </c>
    </row>
    <row r="9747" spans="1:2" x14ac:dyDescent="0.25">
      <c r="A9747" s="4">
        <v>9742</v>
      </c>
      <c r="B9747" s="3" t="str">
        <f>"00679685"</f>
        <v>00679685</v>
      </c>
    </row>
    <row r="9748" spans="1:2" x14ac:dyDescent="0.25">
      <c r="A9748" s="4">
        <v>9743</v>
      </c>
      <c r="B9748" s="3" t="str">
        <f>"00679692"</f>
        <v>00679692</v>
      </c>
    </row>
    <row r="9749" spans="1:2" x14ac:dyDescent="0.25">
      <c r="A9749" s="4">
        <v>9744</v>
      </c>
      <c r="B9749" s="3" t="str">
        <f>"00679693"</f>
        <v>00679693</v>
      </c>
    </row>
    <row r="9750" spans="1:2" x14ac:dyDescent="0.25">
      <c r="A9750" s="4">
        <v>9745</v>
      </c>
      <c r="B9750" s="3" t="str">
        <f>"00679696"</f>
        <v>00679696</v>
      </c>
    </row>
    <row r="9751" spans="1:2" x14ac:dyDescent="0.25">
      <c r="A9751" s="4">
        <v>9746</v>
      </c>
      <c r="B9751" s="3" t="str">
        <f>"00679697"</f>
        <v>00679697</v>
      </c>
    </row>
    <row r="9752" spans="1:2" x14ac:dyDescent="0.25">
      <c r="A9752" s="4">
        <v>9747</v>
      </c>
      <c r="B9752" s="3" t="str">
        <f>"00679698"</f>
        <v>00679698</v>
      </c>
    </row>
    <row r="9753" spans="1:2" x14ac:dyDescent="0.25">
      <c r="A9753" s="4">
        <v>9748</v>
      </c>
      <c r="B9753" s="3" t="str">
        <f>"00679704"</f>
        <v>00679704</v>
      </c>
    </row>
    <row r="9754" spans="1:2" x14ac:dyDescent="0.25">
      <c r="A9754" s="4">
        <v>9749</v>
      </c>
      <c r="B9754" s="3" t="str">
        <f>"00679708"</f>
        <v>00679708</v>
      </c>
    </row>
    <row r="9755" spans="1:2" x14ac:dyDescent="0.25">
      <c r="A9755" s="4">
        <v>9750</v>
      </c>
      <c r="B9755" s="3" t="str">
        <f>"00679712"</f>
        <v>00679712</v>
      </c>
    </row>
    <row r="9756" spans="1:2" x14ac:dyDescent="0.25">
      <c r="A9756" s="4">
        <v>9751</v>
      </c>
      <c r="B9756" s="3" t="str">
        <f>"00679718"</f>
        <v>00679718</v>
      </c>
    </row>
    <row r="9757" spans="1:2" x14ac:dyDescent="0.25">
      <c r="A9757" s="4">
        <v>9752</v>
      </c>
      <c r="B9757" s="3" t="str">
        <f>"00679736"</f>
        <v>00679736</v>
      </c>
    </row>
    <row r="9758" spans="1:2" x14ac:dyDescent="0.25">
      <c r="A9758" s="4">
        <v>9753</v>
      </c>
      <c r="B9758" s="3" t="str">
        <f>"00679745"</f>
        <v>00679745</v>
      </c>
    </row>
    <row r="9759" spans="1:2" x14ac:dyDescent="0.25">
      <c r="A9759" s="4">
        <v>9754</v>
      </c>
      <c r="B9759" s="3" t="str">
        <f>"00679746"</f>
        <v>00679746</v>
      </c>
    </row>
    <row r="9760" spans="1:2" x14ac:dyDescent="0.25">
      <c r="A9760" s="4">
        <v>9755</v>
      </c>
      <c r="B9760" s="3" t="str">
        <f>"00679753"</f>
        <v>00679753</v>
      </c>
    </row>
    <row r="9761" spans="1:2" x14ac:dyDescent="0.25">
      <c r="A9761" s="4">
        <v>9756</v>
      </c>
      <c r="B9761" s="3" t="str">
        <f>"00679759"</f>
        <v>00679759</v>
      </c>
    </row>
    <row r="9762" spans="1:2" x14ac:dyDescent="0.25">
      <c r="A9762" s="4">
        <v>9757</v>
      </c>
      <c r="B9762" s="3" t="str">
        <f>"00679761"</f>
        <v>00679761</v>
      </c>
    </row>
    <row r="9763" spans="1:2" x14ac:dyDescent="0.25">
      <c r="A9763" s="4">
        <v>9758</v>
      </c>
      <c r="B9763" s="3" t="str">
        <f>"00679762"</f>
        <v>00679762</v>
      </c>
    </row>
    <row r="9764" spans="1:2" x14ac:dyDescent="0.25">
      <c r="A9764" s="4">
        <v>9759</v>
      </c>
      <c r="B9764" s="3" t="str">
        <f>"00679764"</f>
        <v>00679764</v>
      </c>
    </row>
    <row r="9765" spans="1:2" x14ac:dyDescent="0.25">
      <c r="A9765" s="4">
        <v>9760</v>
      </c>
      <c r="B9765" s="3" t="str">
        <f>"00679782"</f>
        <v>00679782</v>
      </c>
    </row>
    <row r="9766" spans="1:2" x14ac:dyDescent="0.25">
      <c r="A9766" s="4">
        <v>9761</v>
      </c>
      <c r="B9766" s="3" t="str">
        <f>"00679783"</f>
        <v>00679783</v>
      </c>
    </row>
    <row r="9767" spans="1:2" x14ac:dyDescent="0.25">
      <c r="A9767" s="4">
        <v>9762</v>
      </c>
      <c r="B9767" s="3" t="str">
        <f>"00679785"</f>
        <v>00679785</v>
      </c>
    </row>
    <row r="9768" spans="1:2" x14ac:dyDescent="0.25">
      <c r="A9768" s="4">
        <v>9763</v>
      </c>
      <c r="B9768" s="3" t="str">
        <f>"00679797"</f>
        <v>00679797</v>
      </c>
    </row>
    <row r="9769" spans="1:2" x14ac:dyDescent="0.25">
      <c r="A9769" s="4">
        <v>9764</v>
      </c>
      <c r="B9769" s="3" t="str">
        <f>"00679800"</f>
        <v>00679800</v>
      </c>
    </row>
    <row r="9770" spans="1:2" x14ac:dyDescent="0.25">
      <c r="A9770" s="4">
        <v>9765</v>
      </c>
      <c r="B9770" s="3" t="str">
        <f>"00679803"</f>
        <v>00679803</v>
      </c>
    </row>
    <row r="9771" spans="1:2" x14ac:dyDescent="0.25">
      <c r="A9771" s="4">
        <v>9766</v>
      </c>
      <c r="B9771" s="3" t="str">
        <f>"00679806"</f>
        <v>00679806</v>
      </c>
    </row>
    <row r="9772" spans="1:2" x14ac:dyDescent="0.25">
      <c r="A9772" s="4">
        <v>9767</v>
      </c>
      <c r="B9772" s="3" t="str">
        <f>"00679811"</f>
        <v>00679811</v>
      </c>
    </row>
    <row r="9773" spans="1:2" x14ac:dyDescent="0.25">
      <c r="A9773" s="4">
        <v>9768</v>
      </c>
      <c r="B9773" s="3" t="str">
        <f>"00679815"</f>
        <v>00679815</v>
      </c>
    </row>
    <row r="9774" spans="1:2" x14ac:dyDescent="0.25">
      <c r="A9774" s="4">
        <v>9769</v>
      </c>
      <c r="B9774" s="3" t="str">
        <f>"00679816"</f>
        <v>00679816</v>
      </c>
    </row>
    <row r="9775" spans="1:2" x14ac:dyDescent="0.25">
      <c r="A9775" s="4">
        <v>9770</v>
      </c>
      <c r="B9775" s="3" t="str">
        <f>"00679818"</f>
        <v>00679818</v>
      </c>
    </row>
    <row r="9776" spans="1:2" x14ac:dyDescent="0.25">
      <c r="A9776" s="4">
        <v>9771</v>
      </c>
      <c r="B9776" s="3" t="str">
        <f>"00679822"</f>
        <v>00679822</v>
      </c>
    </row>
    <row r="9777" spans="1:2" x14ac:dyDescent="0.25">
      <c r="A9777" s="4">
        <v>9772</v>
      </c>
      <c r="B9777" s="3" t="str">
        <f>"00679827"</f>
        <v>00679827</v>
      </c>
    </row>
    <row r="9778" spans="1:2" x14ac:dyDescent="0.25">
      <c r="A9778" s="4">
        <v>9773</v>
      </c>
      <c r="B9778" s="3" t="str">
        <f>"00679828"</f>
        <v>00679828</v>
      </c>
    </row>
    <row r="9779" spans="1:2" x14ac:dyDescent="0.25">
      <c r="A9779" s="4">
        <v>9774</v>
      </c>
      <c r="B9779" s="3" t="str">
        <f>"00679831"</f>
        <v>00679831</v>
      </c>
    </row>
    <row r="9780" spans="1:2" x14ac:dyDescent="0.25">
      <c r="A9780" s="4">
        <v>9775</v>
      </c>
      <c r="B9780" s="3" t="str">
        <f>"00679835"</f>
        <v>00679835</v>
      </c>
    </row>
    <row r="9781" spans="1:2" x14ac:dyDescent="0.25">
      <c r="A9781" s="4">
        <v>9776</v>
      </c>
      <c r="B9781" s="3" t="str">
        <f>"00679839"</f>
        <v>00679839</v>
      </c>
    </row>
    <row r="9782" spans="1:2" x14ac:dyDescent="0.25">
      <c r="A9782" s="4">
        <v>9777</v>
      </c>
      <c r="B9782" s="3" t="str">
        <f>"00679842"</f>
        <v>00679842</v>
      </c>
    </row>
    <row r="9783" spans="1:2" x14ac:dyDescent="0.25">
      <c r="A9783" s="4">
        <v>9778</v>
      </c>
      <c r="B9783" s="3" t="str">
        <f>"00679844"</f>
        <v>00679844</v>
      </c>
    </row>
    <row r="9784" spans="1:2" x14ac:dyDescent="0.25">
      <c r="A9784" s="4">
        <v>9779</v>
      </c>
      <c r="B9784" s="3" t="str">
        <f>"00679849"</f>
        <v>00679849</v>
      </c>
    </row>
    <row r="9785" spans="1:2" x14ac:dyDescent="0.25">
      <c r="A9785" s="4">
        <v>9780</v>
      </c>
      <c r="B9785" s="3" t="str">
        <f>"00679862"</f>
        <v>00679862</v>
      </c>
    </row>
    <row r="9786" spans="1:2" x14ac:dyDescent="0.25">
      <c r="A9786" s="4">
        <v>9781</v>
      </c>
      <c r="B9786" s="3" t="str">
        <f>"00679866"</f>
        <v>00679866</v>
      </c>
    </row>
    <row r="9787" spans="1:2" x14ac:dyDescent="0.25">
      <c r="A9787" s="4">
        <v>9782</v>
      </c>
      <c r="B9787" s="3" t="str">
        <f>"00679871"</f>
        <v>00679871</v>
      </c>
    </row>
    <row r="9788" spans="1:2" x14ac:dyDescent="0.25">
      <c r="A9788" s="4">
        <v>9783</v>
      </c>
      <c r="B9788" s="3" t="str">
        <f>"00679905"</f>
        <v>00679905</v>
      </c>
    </row>
    <row r="9789" spans="1:2" x14ac:dyDescent="0.25">
      <c r="A9789" s="4">
        <v>9784</v>
      </c>
      <c r="B9789" s="3" t="str">
        <f>"00679906"</f>
        <v>00679906</v>
      </c>
    </row>
    <row r="9790" spans="1:2" x14ac:dyDescent="0.25">
      <c r="A9790" s="4">
        <v>9785</v>
      </c>
      <c r="B9790" s="3" t="str">
        <f>"00679909"</f>
        <v>00679909</v>
      </c>
    </row>
    <row r="9791" spans="1:2" x14ac:dyDescent="0.25">
      <c r="A9791" s="4">
        <v>9786</v>
      </c>
      <c r="B9791" s="3" t="str">
        <f>"00679912"</f>
        <v>00679912</v>
      </c>
    </row>
    <row r="9792" spans="1:2" x14ac:dyDescent="0.25">
      <c r="A9792" s="4">
        <v>9787</v>
      </c>
      <c r="B9792" s="3" t="str">
        <f>"00679915"</f>
        <v>00679915</v>
      </c>
    </row>
    <row r="9793" spans="1:2" x14ac:dyDescent="0.25">
      <c r="A9793" s="4">
        <v>9788</v>
      </c>
      <c r="B9793" s="3" t="str">
        <f>"00679937"</f>
        <v>00679937</v>
      </c>
    </row>
    <row r="9794" spans="1:2" x14ac:dyDescent="0.25">
      <c r="A9794" s="4">
        <v>9789</v>
      </c>
      <c r="B9794" s="3" t="str">
        <f>"00679948"</f>
        <v>00679948</v>
      </c>
    </row>
    <row r="9795" spans="1:2" x14ac:dyDescent="0.25">
      <c r="A9795" s="4">
        <v>9790</v>
      </c>
      <c r="B9795" s="3" t="str">
        <f>"00679958"</f>
        <v>00679958</v>
      </c>
    </row>
    <row r="9796" spans="1:2" x14ac:dyDescent="0.25">
      <c r="A9796" s="4">
        <v>9791</v>
      </c>
      <c r="B9796" s="3" t="str">
        <f>"00679968"</f>
        <v>00679968</v>
      </c>
    </row>
    <row r="9797" spans="1:2" x14ac:dyDescent="0.25">
      <c r="A9797" s="4">
        <v>9792</v>
      </c>
      <c r="B9797" s="3" t="str">
        <f>"00679985"</f>
        <v>00679985</v>
      </c>
    </row>
    <row r="9798" spans="1:2" x14ac:dyDescent="0.25">
      <c r="A9798" s="4">
        <v>9793</v>
      </c>
      <c r="B9798" s="3" t="str">
        <f>"00679986"</f>
        <v>00679986</v>
      </c>
    </row>
    <row r="9799" spans="1:2" x14ac:dyDescent="0.25">
      <c r="A9799" s="4">
        <v>9794</v>
      </c>
      <c r="B9799" s="3" t="str">
        <f>"00680001"</f>
        <v>00680001</v>
      </c>
    </row>
    <row r="9800" spans="1:2" x14ac:dyDescent="0.25">
      <c r="A9800" s="4">
        <v>9795</v>
      </c>
      <c r="B9800" s="3" t="str">
        <f>"00680005"</f>
        <v>00680005</v>
      </c>
    </row>
    <row r="9801" spans="1:2" x14ac:dyDescent="0.25">
      <c r="A9801" s="4">
        <v>9796</v>
      </c>
      <c r="B9801" s="3" t="str">
        <f>"00680016"</f>
        <v>00680016</v>
      </c>
    </row>
    <row r="9802" spans="1:2" x14ac:dyDescent="0.25">
      <c r="A9802" s="4">
        <v>9797</v>
      </c>
      <c r="B9802" s="3" t="str">
        <f>"00680036"</f>
        <v>00680036</v>
      </c>
    </row>
    <row r="9803" spans="1:2" x14ac:dyDescent="0.25">
      <c r="A9803" s="4">
        <v>9798</v>
      </c>
      <c r="B9803" s="3" t="str">
        <f>"00680049"</f>
        <v>00680049</v>
      </c>
    </row>
    <row r="9804" spans="1:2" x14ac:dyDescent="0.25">
      <c r="A9804" s="4">
        <v>9799</v>
      </c>
      <c r="B9804" s="3" t="str">
        <f>"00680059"</f>
        <v>00680059</v>
      </c>
    </row>
    <row r="9805" spans="1:2" x14ac:dyDescent="0.25">
      <c r="A9805" s="4">
        <v>9800</v>
      </c>
      <c r="B9805" s="3" t="str">
        <f>"00680063"</f>
        <v>00680063</v>
      </c>
    </row>
    <row r="9806" spans="1:2" x14ac:dyDescent="0.25">
      <c r="A9806" s="4">
        <v>9801</v>
      </c>
      <c r="B9806" s="3" t="str">
        <f>"00680078"</f>
        <v>00680078</v>
      </c>
    </row>
    <row r="9807" spans="1:2" x14ac:dyDescent="0.25">
      <c r="A9807" s="4">
        <v>9802</v>
      </c>
      <c r="B9807" s="3" t="str">
        <f>"00680093"</f>
        <v>00680093</v>
      </c>
    </row>
    <row r="9808" spans="1:2" x14ac:dyDescent="0.25">
      <c r="A9808" s="4">
        <v>9803</v>
      </c>
      <c r="B9808" s="3" t="str">
        <f>"00680132"</f>
        <v>00680132</v>
      </c>
    </row>
    <row r="9809" spans="1:2" x14ac:dyDescent="0.25">
      <c r="A9809" s="4">
        <v>9804</v>
      </c>
      <c r="B9809" s="3" t="str">
        <f>"00680142"</f>
        <v>00680142</v>
      </c>
    </row>
    <row r="9810" spans="1:2" x14ac:dyDescent="0.25">
      <c r="A9810" s="4">
        <v>9805</v>
      </c>
      <c r="B9810" s="3" t="str">
        <f>"00680145"</f>
        <v>00680145</v>
      </c>
    </row>
    <row r="9811" spans="1:2" x14ac:dyDescent="0.25">
      <c r="A9811" s="4">
        <v>9806</v>
      </c>
      <c r="B9811" s="3" t="str">
        <f>"00680146"</f>
        <v>00680146</v>
      </c>
    </row>
    <row r="9812" spans="1:2" x14ac:dyDescent="0.25">
      <c r="A9812" s="4">
        <v>9807</v>
      </c>
      <c r="B9812" s="3" t="str">
        <f>"00680147"</f>
        <v>00680147</v>
      </c>
    </row>
    <row r="9813" spans="1:2" x14ac:dyDescent="0.25">
      <c r="A9813" s="4">
        <v>9808</v>
      </c>
      <c r="B9813" s="3" t="str">
        <f>"00680155"</f>
        <v>00680155</v>
      </c>
    </row>
    <row r="9814" spans="1:2" x14ac:dyDescent="0.25">
      <c r="A9814" s="4">
        <v>9809</v>
      </c>
      <c r="B9814" s="3" t="str">
        <f>"00680166"</f>
        <v>00680166</v>
      </c>
    </row>
    <row r="9815" spans="1:2" x14ac:dyDescent="0.25">
      <c r="A9815" s="4">
        <v>9810</v>
      </c>
      <c r="B9815" s="3" t="str">
        <f>"00680188"</f>
        <v>00680188</v>
      </c>
    </row>
    <row r="9816" spans="1:2" x14ac:dyDescent="0.25">
      <c r="A9816" s="4">
        <v>9811</v>
      </c>
      <c r="B9816" s="3" t="str">
        <f>"00680189"</f>
        <v>00680189</v>
      </c>
    </row>
    <row r="9817" spans="1:2" x14ac:dyDescent="0.25">
      <c r="A9817" s="4">
        <v>9812</v>
      </c>
      <c r="B9817" s="3" t="str">
        <f>"00680202"</f>
        <v>00680202</v>
      </c>
    </row>
    <row r="9818" spans="1:2" x14ac:dyDescent="0.25">
      <c r="A9818" s="4">
        <v>9813</v>
      </c>
      <c r="B9818" s="3" t="str">
        <f>"00680261"</f>
        <v>00680261</v>
      </c>
    </row>
    <row r="9819" spans="1:2" x14ac:dyDescent="0.25">
      <c r="A9819" s="4">
        <v>9814</v>
      </c>
      <c r="B9819" s="3" t="str">
        <f>"00680262"</f>
        <v>00680262</v>
      </c>
    </row>
    <row r="9820" spans="1:2" x14ac:dyDescent="0.25">
      <c r="A9820" s="4">
        <v>9815</v>
      </c>
      <c r="B9820" s="3" t="str">
        <f>"00680266"</f>
        <v>00680266</v>
      </c>
    </row>
    <row r="9821" spans="1:2" x14ac:dyDescent="0.25">
      <c r="A9821" s="4">
        <v>9816</v>
      </c>
      <c r="B9821" s="3" t="str">
        <f>"00680276"</f>
        <v>00680276</v>
      </c>
    </row>
    <row r="9822" spans="1:2" x14ac:dyDescent="0.25">
      <c r="A9822" s="4">
        <v>9817</v>
      </c>
      <c r="B9822" s="3" t="str">
        <f>"00680277"</f>
        <v>00680277</v>
      </c>
    </row>
    <row r="9823" spans="1:2" x14ac:dyDescent="0.25">
      <c r="A9823" s="4">
        <v>9818</v>
      </c>
      <c r="B9823" s="3" t="str">
        <f>"00680279"</f>
        <v>00680279</v>
      </c>
    </row>
    <row r="9824" spans="1:2" x14ac:dyDescent="0.25">
      <c r="A9824" s="4">
        <v>9819</v>
      </c>
      <c r="B9824" s="3" t="str">
        <f>"00680283"</f>
        <v>00680283</v>
      </c>
    </row>
    <row r="9825" spans="1:2" x14ac:dyDescent="0.25">
      <c r="A9825" s="4">
        <v>9820</v>
      </c>
      <c r="B9825" s="3" t="str">
        <f>"00680286"</f>
        <v>00680286</v>
      </c>
    </row>
    <row r="9826" spans="1:2" x14ac:dyDescent="0.25">
      <c r="A9826" s="4">
        <v>9821</v>
      </c>
      <c r="B9826" s="3" t="str">
        <f>"00680288"</f>
        <v>00680288</v>
      </c>
    </row>
    <row r="9827" spans="1:2" x14ac:dyDescent="0.25">
      <c r="A9827" s="4">
        <v>9822</v>
      </c>
      <c r="B9827" s="3" t="str">
        <f>"00680290"</f>
        <v>00680290</v>
      </c>
    </row>
    <row r="9828" spans="1:2" x14ac:dyDescent="0.25">
      <c r="A9828" s="4">
        <v>9823</v>
      </c>
      <c r="B9828" s="3" t="str">
        <f>"00680306"</f>
        <v>00680306</v>
      </c>
    </row>
    <row r="9829" spans="1:2" x14ac:dyDescent="0.25">
      <c r="A9829" s="4">
        <v>9824</v>
      </c>
      <c r="B9829" s="3" t="str">
        <f>"00680315"</f>
        <v>00680315</v>
      </c>
    </row>
    <row r="9830" spans="1:2" x14ac:dyDescent="0.25">
      <c r="A9830" s="4">
        <v>9825</v>
      </c>
      <c r="B9830" s="3" t="str">
        <f>"00680316"</f>
        <v>00680316</v>
      </c>
    </row>
    <row r="9831" spans="1:2" x14ac:dyDescent="0.25">
      <c r="A9831" s="4">
        <v>9826</v>
      </c>
      <c r="B9831" s="3" t="str">
        <f>"00680331"</f>
        <v>00680331</v>
      </c>
    </row>
    <row r="9832" spans="1:2" x14ac:dyDescent="0.25">
      <c r="A9832" s="4">
        <v>9827</v>
      </c>
      <c r="B9832" s="3" t="str">
        <f>"00680335"</f>
        <v>00680335</v>
      </c>
    </row>
    <row r="9833" spans="1:2" x14ac:dyDescent="0.25">
      <c r="A9833" s="4">
        <v>9828</v>
      </c>
      <c r="B9833" s="3" t="str">
        <f>"00680341"</f>
        <v>00680341</v>
      </c>
    </row>
    <row r="9834" spans="1:2" x14ac:dyDescent="0.25">
      <c r="A9834" s="4">
        <v>9829</v>
      </c>
      <c r="B9834" s="3" t="str">
        <f>"00680394"</f>
        <v>00680394</v>
      </c>
    </row>
    <row r="9835" spans="1:2" x14ac:dyDescent="0.25">
      <c r="A9835" s="4">
        <v>9830</v>
      </c>
      <c r="B9835" s="3" t="str">
        <f>"00680396"</f>
        <v>00680396</v>
      </c>
    </row>
    <row r="9836" spans="1:2" x14ac:dyDescent="0.25">
      <c r="A9836" s="4">
        <v>9831</v>
      </c>
      <c r="B9836" s="3" t="str">
        <f>"00680399"</f>
        <v>00680399</v>
      </c>
    </row>
    <row r="9837" spans="1:2" x14ac:dyDescent="0.25">
      <c r="A9837" s="4">
        <v>9832</v>
      </c>
      <c r="B9837" s="3" t="str">
        <f>"00680404"</f>
        <v>00680404</v>
      </c>
    </row>
    <row r="9838" spans="1:2" x14ac:dyDescent="0.25">
      <c r="A9838" s="4">
        <v>9833</v>
      </c>
      <c r="B9838" s="3" t="str">
        <f>"00680417"</f>
        <v>00680417</v>
      </c>
    </row>
    <row r="9839" spans="1:2" x14ac:dyDescent="0.25">
      <c r="A9839" s="4">
        <v>9834</v>
      </c>
      <c r="B9839" s="3" t="str">
        <f>"00680422"</f>
        <v>00680422</v>
      </c>
    </row>
    <row r="9840" spans="1:2" x14ac:dyDescent="0.25">
      <c r="A9840" s="4">
        <v>9835</v>
      </c>
      <c r="B9840" s="3" t="str">
        <f>"00680434"</f>
        <v>00680434</v>
      </c>
    </row>
    <row r="9841" spans="1:2" x14ac:dyDescent="0.25">
      <c r="A9841" s="4">
        <v>9836</v>
      </c>
      <c r="B9841" s="3" t="str">
        <f>"00680446"</f>
        <v>00680446</v>
      </c>
    </row>
    <row r="9842" spans="1:2" x14ac:dyDescent="0.25">
      <c r="A9842" s="4">
        <v>9837</v>
      </c>
      <c r="B9842" s="3" t="str">
        <f>"00680460"</f>
        <v>00680460</v>
      </c>
    </row>
    <row r="9843" spans="1:2" x14ac:dyDescent="0.25">
      <c r="A9843" s="4">
        <v>9838</v>
      </c>
      <c r="B9843" s="3" t="str">
        <f>"00680482"</f>
        <v>00680482</v>
      </c>
    </row>
    <row r="9844" spans="1:2" x14ac:dyDescent="0.25">
      <c r="A9844" s="4">
        <v>9839</v>
      </c>
      <c r="B9844" s="3" t="str">
        <f>"00680496"</f>
        <v>00680496</v>
      </c>
    </row>
    <row r="9845" spans="1:2" x14ac:dyDescent="0.25">
      <c r="A9845" s="4">
        <v>9840</v>
      </c>
      <c r="B9845" s="3" t="str">
        <f>"00680498"</f>
        <v>00680498</v>
      </c>
    </row>
    <row r="9846" spans="1:2" x14ac:dyDescent="0.25">
      <c r="A9846" s="4">
        <v>9841</v>
      </c>
      <c r="B9846" s="3" t="str">
        <f>"00680504"</f>
        <v>00680504</v>
      </c>
    </row>
    <row r="9847" spans="1:2" x14ac:dyDescent="0.25">
      <c r="A9847" s="4">
        <v>9842</v>
      </c>
      <c r="B9847" s="3" t="str">
        <f>"00680560"</f>
        <v>00680560</v>
      </c>
    </row>
    <row r="9848" spans="1:2" x14ac:dyDescent="0.25">
      <c r="A9848" s="4">
        <v>9843</v>
      </c>
      <c r="B9848" s="3" t="str">
        <f>"00680567"</f>
        <v>00680567</v>
      </c>
    </row>
    <row r="9849" spans="1:2" x14ac:dyDescent="0.25">
      <c r="A9849" s="4">
        <v>9844</v>
      </c>
      <c r="B9849" s="3" t="str">
        <f>"00680581"</f>
        <v>00680581</v>
      </c>
    </row>
    <row r="9850" spans="1:2" x14ac:dyDescent="0.25">
      <c r="A9850" s="4">
        <v>9845</v>
      </c>
      <c r="B9850" s="3" t="str">
        <f>"00680584"</f>
        <v>00680584</v>
      </c>
    </row>
    <row r="9851" spans="1:2" x14ac:dyDescent="0.25">
      <c r="A9851" s="4">
        <v>9846</v>
      </c>
      <c r="B9851" s="3" t="str">
        <f>"00680587"</f>
        <v>00680587</v>
      </c>
    </row>
    <row r="9852" spans="1:2" x14ac:dyDescent="0.25">
      <c r="A9852" s="4">
        <v>9847</v>
      </c>
      <c r="B9852" s="3" t="str">
        <f>"00680602"</f>
        <v>00680602</v>
      </c>
    </row>
    <row r="9853" spans="1:2" x14ac:dyDescent="0.25">
      <c r="A9853" s="4">
        <v>9848</v>
      </c>
      <c r="B9853" s="3" t="str">
        <f>"00680629"</f>
        <v>00680629</v>
      </c>
    </row>
    <row r="9854" spans="1:2" x14ac:dyDescent="0.25">
      <c r="A9854" s="4">
        <v>9849</v>
      </c>
      <c r="B9854" s="3" t="str">
        <f>"00680631"</f>
        <v>00680631</v>
      </c>
    </row>
    <row r="9855" spans="1:2" x14ac:dyDescent="0.25">
      <c r="A9855" s="4">
        <v>9850</v>
      </c>
      <c r="B9855" s="3" t="str">
        <f>"00680647"</f>
        <v>00680647</v>
      </c>
    </row>
    <row r="9856" spans="1:2" x14ac:dyDescent="0.25">
      <c r="A9856" s="4">
        <v>9851</v>
      </c>
      <c r="B9856" s="3" t="str">
        <f>"00680648"</f>
        <v>00680648</v>
      </c>
    </row>
    <row r="9857" spans="1:2" x14ac:dyDescent="0.25">
      <c r="A9857" s="4">
        <v>9852</v>
      </c>
      <c r="B9857" s="3" t="str">
        <f>"00680649"</f>
        <v>00680649</v>
      </c>
    </row>
    <row r="9858" spans="1:2" x14ac:dyDescent="0.25">
      <c r="A9858" s="4">
        <v>9853</v>
      </c>
      <c r="B9858" s="3" t="str">
        <f>"00680668"</f>
        <v>00680668</v>
      </c>
    </row>
    <row r="9859" spans="1:2" x14ac:dyDescent="0.25">
      <c r="A9859" s="4">
        <v>9854</v>
      </c>
      <c r="B9859" s="3" t="str">
        <f>"00680669"</f>
        <v>00680669</v>
      </c>
    </row>
    <row r="9860" spans="1:2" x14ac:dyDescent="0.25">
      <c r="A9860" s="4">
        <v>9855</v>
      </c>
      <c r="B9860" s="3" t="str">
        <f>"00680672"</f>
        <v>00680672</v>
      </c>
    </row>
    <row r="9861" spans="1:2" x14ac:dyDescent="0.25">
      <c r="A9861" s="4">
        <v>9856</v>
      </c>
      <c r="B9861" s="3" t="str">
        <f>"00680673"</f>
        <v>00680673</v>
      </c>
    </row>
    <row r="9862" spans="1:2" x14ac:dyDescent="0.25">
      <c r="A9862" s="4">
        <v>9857</v>
      </c>
      <c r="B9862" s="3" t="str">
        <f>"00680675"</f>
        <v>00680675</v>
      </c>
    </row>
    <row r="9863" spans="1:2" x14ac:dyDescent="0.25">
      <c r="A9863" s="4">
        <v>9858</v>
      </c>
      <c r="B9863" s="3" t="str">
        <f>"00680686"</f>
        <v>00680686</v>
      </c>
    </row>
    <row r="9864" spans="1:2" x14ac:dyDescent="0.25">
      <c r="A9864" s="4">
        <v>9859</v>
      </c>
      <c r="B9864" s="3" t="str">
        <f>"00680688"</f>
        <v>00680688</v>
      </c>
    </row>
    <row r="9865" spans="1:2" x14ac:dyDescent="0.25">
      <c r="A9865" s="4">
        <v>9860</v>
      </c>
      <c r="B9865" s="3" t="str">
        <f>"00680698"</f>
        <v>00680698</v>
      </c>
    </row>
    <row r="9866" spans="1:2" x14ac:dyDescent="0.25">
      <c r="A9866" s="4">
        <v>9861</v>
      </c>
      <c r="B9866" s="3" t="str">
        <f>"00680703"</f>
        <v>00680703</v>
      </c>
    </row>
    <row r="9867" spans="1:2" x14ac:dyDescent="0.25">
      <c r="A9867" s="4">
        <v>9862</v>
      </c>
      <c r="B9867" s="3" t="str">
        <f>"00680713"</f>
        <v>00680713</v>
      </c>
    </row>
    <row r="9868" spans="1:2" x14ac:dyDescent="0.25">
      <c r="A9868" s="4">
        <v>9863</v>
      </c>
      <c r="B9868" s="3" t="str">
        <f>"00680747"</f>
        <v>00680747</v>
      </c>
    </row>
    <row r="9869" spans="1:2" x14ac:dyDescent="0.25">
      <c r="A9869" s="4">
        <v>9864</v>
      </c>
      <c r="B9869" s="3" t="str">
        <f>"00680755"</f>
        <v>00680755</v>
      </c>
    </row>
    <row r="9870" spans="1:2" x14ac:dyDescent="0.25">
      <c r="A9870" s="4">
        <v>9865</v>
      </c>
      <c r="B9870" s="3" t="str">
        <f>"00680784"</f>
        <v>00680784</v>
      </c>
    </row>
    <row r="9871" spans="1:2" x14ac:dyDescent="0.25">
      <c r="A9871" s="4">
        <v>9866</v>
      </c>
      <c r="B9871" s="3" t="str">
        <f>"00680791"</f>
        <v>00680791</v>
      </c>
    </row>
    <row r="9872" spans="1:2" x14ac:dyDescent="0.25">
      <c r="A9872" s="4">
        <v>9867</v>
      </c>
      <c r="B9872" s="3" t="str">
        <f>"00680800"</f>
        <v>00680800</v>
      </c>
    </row>
    <row r="9873" spans="1:2" x14ac:dyDescent="0.25">
      <c r="A9873" s="4">
        <v>9868</v>
      </c>
      <c r="B9873" s="3" t="str">
        <f>"00680803"</f>
        <v>00680803</v>
      </c>
    </row>
    <row r="9874" spans="1:2" x14ac:dyDescent="0.25">
      <c r="A9874" s="4">
        <v>9869</v>
      </c>
      <c r="B9874" s="3" t="str">
        <f>"00680807"</f>
        <v>00680807</v>
      </c>
    </row>
    <row r="9875" spans="1:2" x14ac:dyDescent="0.25">
      <c r="A9875" s="4">
        <v>9870</v>
      </c>
      <c r="B9875" s="3" t="str">
        <f>"00680826"</f>
        <v>00680826</v>
      </c>
    </row>
    <row r="9876" spans="1:2" x14ac:dyDescent="0.25">
      <c r="A9876" s="4">
        <v>9871</v>
      </c>
      <c r="B9876" s="3" t="str">
        <f>"00680850"</f>
        <v>00680850</v>
      </c>
    </row>
    <row r="9877" spans="1:2" x14ac:dyDescent="0.25">
      <c r="A9877" s="4">
        <v>9872</v>
      </c>
      <c r="B9877" s="3" t="str">
        <f>"00680864"</f>
        <v>00680864</v>
      </c>
    </row>
    <row r="9878" spans="1:2" x14ac:dyDescent="0.25">
      <c r="A9878" s="4">
        <v>9873</v>
      </c>
      <c r="B9878" s="3" t="str">
        <f>"00680865"</f>
        <v>00680865</v>
      </c>
    </row>
    <row r="9879" spans="1:2" x14ac:dyDescent="0.25">
      <c r="A9879" s="4">
        <v>9874</v>
      </c>
      <c r="B9879" s="3" t="str">
        <f>"00680866"</f>
        <v>00680866</v>
      </c>
    </row>
    <row r="9880" spans="1:2" x14ac:dyDescent="0.25">
      <c r="A9880" s="4">
        <v>9875</v>
      </c>
      <c r="B9880" s="3" t="str">
        <f>"00680867"</f>
        <v>00680867</v>
      </c>
    </row>
    <row r="9881" spans="1:2" x14ac:dyDescent="0.25">
      <c r="A9881" s="4">
        <v>9876</v>
      </c>
      <c r="B9881" s="3" t="str">
        <f>"00680903"</f>
        <v>00680903</v>
      </c>
    </row>
    <row r="9882" spans="1:2" x14ac:dyDescent="0.25">
      <c r="A9882" s="4">
        <v>9877</v>
      </c>
      <c r="B9882" s="3" t="str">
        <f>"00680918"</f>
        <v>00680918</v>
      </c>
    </row>
    <row r="9883" spans="1:2" x14ac:dyDescent="0.25">
      <c r="A9883" s="4">
        <v>9878</v>
      </c>
      <c r="B9883" s="3" t="str">
        <f>"00680921"</f>
        <v>00680921</v>
      </c>
    </row>
    <row r="9884" spans="1:2" x14ac:dyDescent="0.25">
      <c r="A9884" s="4">
        <v>9879</v>
      </c>
      <c r="B9884" s="3" t="str">
        <f>"00680923"</f>
        <v>00680923</v>
      </c>
    </row>
    <row r="9885" spans="1:2" x14ac:dyDescent="0.25">
      <c r="A9885" s="4">
        <v>9880</v>
      </c>
      <c r="B9885" s="3" t="str">
        <f>"00680938"</f>
        <v>00680938</v>
      </c>
    </row>
    <row r="9886" spans="1:2" x14ac:dyDescent="0.25">
      <c r="A9886" s="4">
        <v>9881</v>
      </c>
      <c r="B9886" s="3" t="str">
        <f>"00680939"</f>
        <v>00680939</v>
      </c>
    </row>
    <row r="9887" spans="1:2" x14ac:dyDescent="0.25">
      <c r="A9887" s="4">
        <v>9882</v>
      </c>
      <c r="B9887" s="3" t="str">
        <f>"00680941"</f>
        <v>00680941</v>
      </c>
    </row>
    <row r="9888" spans="1:2" x14ac:dyDescent="0.25">
      <c r="A9888" s="4">
        <v>9883</v>
      </c>
      <c r="B9888" s="3" t="str">
        <f>"00680943"</f>
        <v>00680943</v>
      </c>
    </row>
    <row r="9889" spans="1:2" x14ac:dyDescent="0.25">
      <c r="A9889" s="4">
        <v>9884</v>
      </c>
      <c r="B9889" s="3" t="str">
        <f>"00680946"</f>
        <v>00680946</v>
      </c>
    </row>
    <row r="9890" spans="1:2" x14ac:dyDescent="0.25">
      <c r="A9890" s="4">
        <v>9885</v>
      </c>
      <c r="B9890" s="3" t="str">
        <f>"00680955"</f>
        <v>00680955</v>
      </c>
    </row>
    <row r="9891" spans="1:2" x14ac:dyDescent="0.25">
      <c r="A9891" s="4">
        <v>9886</v>
      </c>
      <c r="B9891" s="3" t="str">
        <f>"00680957"</f>
        <v>00680957</v>
      </c>
    </row>
    <row r="9892" spans="1:2" x14ac:dyDescent="0.25">
      <c r="A9892" s="4">
        <v>9887</v>
      </c>
      <c r="B9892" s="3" t="str">
        <f>"00680958"</f>
        <v>00680958</v>
      </c>
    </row>
    <row r="9893" spans="1:2" x14ac:dyDescent="0.25">
      <c r="A9893" s="4">
        <v>9888</v>
      </c>
      <c r="B9893" s="3" t="str">
        <f>"00680977"</f>
        <v>00680977</v>
      </c>
    </row>
    <row r="9894" spans="1:2" x14ac:dyDescent="0.25">
      <c r="A9894" s="4">
        <v>9889</v>
      </c>
      <c r="B9894" s="3" t="str">
        <f>"00680993"</f>
        <v>00680993</v>
      </c>
    </row>
    <row r="9895" spans="1:2" x14ac:dyDescent="0.25">
      <c r="A9895" s="4">
        <v>9890</v>
      </c>
      <c r="B9895" s="3" t="str">
        <f>"00681008"</f>
        <v>00681008</v>
      </c>
    </row>
    <row r="9896" spans="1:2" x14ac:dyDescent="0.25">
      <c r="A9896" s="4">
        <v>9891</v>
      </c>
      <c r="B9896" s="3" t="str">
        <f>"00681021"</f>
        <v>00681021</v>
      </c>
    </row>
    <row r="9897" spans="1:2" x14ac:dyDescent="0.25">
      <c r="A9897" s="4">
        <v>9892</v>
      </c>
      <c r="B9897" s="3" t="str">
        <f>"00681043"</f>
        <v>00681043</v>
      </c>
    </row>
    <row r="9898" spans="1:2" x14ac:dyDescent="0.25">
      <c r="A9898" s="4">
        <v>9893</v>
      </c>
      <c r="B9898" s="3" t="str">
        <f>"00681049"</f>
        <v>00681049</v>
      </c>
    </row>
    <row r="9899" spans="1:2" x14ac:dyDescent="0.25">
      <c r="A9899" s="4">
        <v>9894</v>
      </c>
      <c r="B9899" s="3" t="str">
        <f>"00681055"</f>
        <v>00681055</v>
      </c>
    </row>
    <row r="9900" spans="1:2" x14ac:dyDescent="0.25">
      <c r="A9900" s="4">
        <v>9895</v>
      </c>
      <c r="B9900" s="3" t="str">
        <f>"00681084"</f>
        <v>00681084</v>
      </c>
    </row>
    <row r="9901" spans="1:2" x14ac:dyDescent="0.25">
      <c r="A9901" s="4">
        <v>9896</v>
      </c>
      <c r="B9901" s="3" t="str">
        <f>"00681092"</f>
        <v>00681092</v>
      </c>
    </row>
    <row r="9902" spans="1:2" x14ac:dyDescent="0.25">
      <c r="A9902" s="4">
        <v>9897</v>
      </c>
      <c r="B9902" s="3" t="str">
        <f>"00681093"</f>
        <v>00681093</v>
      </c>
    </row>
    <row r="9903" spans="1:2" x14ac:dyDescent="0.25">
      <c r="A9903" s="4">
        <v>9898</v>
      </c>
      <c r="B9903" s="3" t="str">
        <f>"00681133"</f>
        <v>00681133</v>
      </c>
    </row>
    <row r="9904" spans="1:2" x14ac:dyDescent="0.25">
      <c r="A9904" s="4">
        <v>9899</v>
      </c>
      <c r="B9904" s="3" t="str">
        <f>"00681134"</f>
        <v>00681134</v>
      </c>
    </row>
    <row r="9905" spans="1:2" x14ac:dyDescent="0.25">
      <c r="A9905" s="4">
        <v>9900</v>
      </c>
      <c r="B9905" s="3" t="str">
        <f>"00681156"</f>
        <v>00681156</v>
      </c>
    </row>
    <row r="9906" spans="1:2" x14ac:dyDescent="0.25">
      <c r="A9906" s="4">
        <v>9901</v>
      </c>
      <c r="B9906" s="3" t="str">
        <f>"00681167"</f>
        <v>00681167</v>
      </c>
    </row>
    <row r="9907" spans="1:2" x14ac:dyDescent="0.25">
      <c r="A9907" s="4">
        <v>9902</v>
      </c>
      <c r="B9907" s="3" t="str">
        <f>"00681177"</f>
        <v>00681177</v>
      </c>
    </row>
    <row r="9908" spans="1:2" x14ac:dyDescent="0.25">
      <c r="A9908" s="4">
        <v>9903</v>
      </c>
      <c r="B9908" s="3" t="str">
        <f>"00681195"</f>
        <v>00681195</v>
      </c>
    </row>
    <row r="9909" spans="1:2" x14ac:dyDescent="0.25">
      <c r="A9909" s="4">
        <v>9904</v>
      </c>
      <c r="B9909" s="3" t="str">
        <f>"00681230"</f>
        <v>00681230</v>
      </c>
    </row>
    <row r="9910" spans="1:2" x14ac:dyDescent="0.25">
      <c r="A9910" s="4">
        <v>9905</v>
      </c>
      <c r="B9910" s="3" t="str">
        <f>"00681232"</f>
        <v>00681232</v>
      </c>
    </row>
    <row r="9911" spans="1:2" x14ac:dyDescent="0.25">
      <c r="A9911" s="4">
        <v>9906</v>
      </c>
      <c r="B9911" s="3" t="str">
        <f>"00681251"</f>
        <v>00681251</v>
      </c>
    </row>
    <row r="9912" spans="1:2" x14ac:dyDescent="0.25">
      <c r="A9912" s="4">
        <v>9907</v>
      </c>
      <c r="B9912" s="3" t="str">
        <f>"00681257"</f>
        <v>00681257</v>
      </c>
    </row>
    <row r="9913" spans="1:2" x14ac:dyDescent="0.25">
      <c r="A9913" s="4">
        <v>9908</v>
      </c>
      <c r="B9913" s="3" t="str">
        <f>"00681260"</f>
        <v>00681260</v>
      </c>
    </row>
    <row r="9914" spans="1:2" x14ac:dyDescent="0.25">
      <c r="A9914" s="4">
        <v>9909</v>
      </c>
      <c r="B9914" s="3" t="str">
        <f>"00681268"</f>
        <v>00681268</v>
      </c>
    </row>
    <row r="9915" spans="1:2" x14ac:dyDescent="0.25">
      <c r="A9915" s="4">
        <v>9910</v>
      </c>
      <c r="B9915" s="3" t="str">
        <f>"00681271"</f>
        <v>00681271</v>
      </c>
    </row>
    <row r="9916" spans="1:2" x14ac:dyDescent="0.25">
      <c r="A9916" s="4">
        <v>9911</v>
      </c>
      <c r="B9916" s="3" t="str">
        <f>"00681278"</f>
        <v>00681278</v>
      </c>
    </row>
    <row r="9917" spans="1:2" x14ac:dyDescent="0.25">
      <c r="A9917" s="4">
        <v>9912</v>
      </c>
      <c r="B9917" s="3" t="str">
        <f>"00681281"</f>
        <v>00681281</v>
      </c>
    </row>
    <row r="9918" spans="1:2" x14ac:dyDescent="0.25">
      <c r="A9918" s="4">
        <v>9913</v>
      </c>
      <c r="B9918" s="3" t="str">
        <f>"00681311"</f>
        <v>00681311</v>
      </c>
    </row>
    <row r="9919" spans="1:2" x14ac:dyDescent="0.25">
      <c r="A9919" s="4">
        <v>9914</v>
      </c>
      <c r="B9919" s="3" t="str">
        <f>"00681312"</f>
        <v>00681312</v>
      </c>
    </row>
    <row r="9920" spans="1:2" x14ac:dyDescent="0.25">
      <c r="A9920" s="4">
        <v>9915</v>
      </c>
      <c r="B9920" s="3" t="str">
        <f>"00681316"</f>
        <v>00681316</v>
      </c>
    </row>
    <row r="9921" spans="1:2" x14ac:dyDescent="0.25">
      <c r="A9921" s="4">
        <v>9916</v>
      </c>
      <c r="B9921" s="3" t="str">
        <f>"00681327"</f>
        <v>00681327</v>
      </c>
    </row>
    <row r="9922" spans="1:2" x14ac:dyDescent="0.25">
      <c r="A9922" s="4">
        <v>9917</v>
      </c>
      <c r="B9922" s="3" t="str">
        <f>"00681333"</f>
        <v>00681333</v>
      </c>
    </row>
    <row r="9923" spans="1:2" x14ac:dyDescent="0.25">
      <c r="A9923" s="4">
        <v>9918</v>
      </c>
      <c r="B9923" s="3" t="str">
        <f>"00681345"</f>
        <v>00681345</v>
      </c>
    </row>
    <row r="9924" spans="1:2" x14ac:dyDescent="0.25">
      <c r="A9924" s="4">
        <v>9919</v>
      </c>
      <c r="B9924" s="3" t="str">
        <f>"00681350"</f>
        <v>00681350</v>
      </c>
    </row>
    <row r="9925" spans="1:2" x14ac:dyDescent="0.25">
      <c r="A9925" s="4">
        <v>9920</v>
      </c>
      <c r="B9925" s="3" t="str">
        <f>"00681353"</f>
        <v>00681353</v>
      </c>
    </row>
    <row r="9926" spans="1:2" x14ac:dyDescent="0.25">
      <c r="A9926" s="4">
        <v>9921</v>
      </c>
      <c r="B9926" s="3" t="str">
        <f>"00681376"</f>
        <v>00681376</v>
      </c>
    </row>
    <row r="9927" spans="1:2" x14ac:dyDescent="0.25">
      <c r="A9927" s="4">
        <v>9922</v>
      </c>
      <c r="B9927" s="3" t="str">
        <f>"00681396"</f>
        <v>00681396</v>
      </c>
    </row>
    <row r="9928" spans="1:2" x14ac:dyDescent="0.25">
      <c r="A9928" s="4">
        <v>9923</v>
      </c>
      <c r="B9928" s="3" t="str">
        <f>"00681407"</f>
        <v>00681407</v>
      </c>
    </row>
    <row r="9929" spans="1:2" x14ac:dyDescent="0.25">
      <c r="A9929" s="4">
        <v>9924</v>
      </c>
      <c r="B9929" s="3" t="str">
        <f>"00681432"</f>
        <v>00681432</v>
      </c>
    </row>
    <row r="9930" spans="1:2" x14ac:dyDescent="0.25">
      <c r="A9930" s="4">
        <v>9925</v>
      </c>
      <c r="B9930" s="3" t="str">
        <f>"00681436"</f>
        <v>00681436</v>
      </c>
    </row>
    <row r="9931" spans="1:2" x14ac:dyDescent="0.25">
      <c r="A9931" s="4">
        <v>9926</v>
      </c>
      <c r="B9931" s="3" t="str">
        <f>"00681446"</f>
        <v>00681446</v>
      </c>
    </row>
    <row r="9932" spans="1:2" x14ac:dyDescent="0.25">
      <c r="A9932" s="4">
        <v>9927</v>
      </c>
      <c r="B9932" s="3" t="str">
        <f>"00681453"</f>
        <v>00681453</v>
      </c>
    </row>
    <row r="9933" spans="1:2" x14ac:dyDescent="0.25">
      <c r="A9933" s="4">
        <v>9928</v>
      </c>
      <c r="B9933" s="3" t="str">
        <f>"00681462"</f>
        <v>00681462</v>
      </c>
    </row>
    <row r="9934" spans="1:2" x14ac:dyDescent="0.25">
      <c r="A9934" s="4">
        <v>9929</v>
      </c>
      <c r="B9934" s="3" t="str">
        <f>"00681475"</f>
        <v>00681475</v>
      </c>
    </row>
    <row r="9935" spans="1:2" x14ac:dyDescent="0.25">
      <c r="A9935" s="4">
        <v>9930</v>
      </c>
      <c r="B9935" s="3" t="str">
        <f>"00681483"</f>
        <v>00681483</v>
      </c>
    </row>
    <row r="9936" spans="1:2" x14ac:dyDescent="0.25">
      <c r="A9936" s="4">
        <v>9931</v>
      </c>
      <c r="B9936" s="3" t="str">
        <f>"00681488"</f>
        <v>00681488</v>
      </c>
    </row>
    <row r="9937" spans="1:2" x14ac:dyDescent="0.25">
      <c r="A9937" s="4">
        <v>9932</v>
      </c>
      <c r="B9937" s="3" t="str">
        <f>"00681496"</f>
        <v>00681496</v>
      </c>
    </row>
    <row r="9938" spans="1:2" x14ac:dyDescent="0.25">
      <c r="A9938" s="4">
        <v>9933</v>
      </c>
      <c r="B9938" s="3" t="str">
        <f>"00681499"</f>
        <v>00681499</v>
      </c>
    </row>
    <row r="9939" spans="1:2" x14ac:dyDescent="0.25">
      <c r="A9939" s="4">
        <v>9934</v>
      </c>
      <c r="B9939" s="3" t="str">
        <f>"00681509"</f>
        <v>00681509</v>
      </c>
    </row>
    <row r="9940" spans="1:2" x14ac:dyDescent="0.25">
      <c r="A9940" s="4">
        <v>9935</v>
      </c>
      <c r="B9940" s="3" t="str">
        <f>"00681510"</f>
        <v>00681510</v>
      </c>
    </row>
    <row r="9941" spans="1:2" x14ac:dyDescent="0.25">
      <c r="A9941" s="4">
        <v>9936</v>
      </c>
      <c r="B9941" s="3" t="str">
        <f>"00681519"</f>
        <v>00681519</v>
      </c>
    </row>
    <row r="9942" spans="1:2" x14ac:dyDescent="0.25">
      <c r="A9942" s="4">
        <v>9937</v>
      </c>
      <c r="B9942" s="3" t="str">
        <f>"00681534"</f>
        <v>00681534</v>
      </c>
    </row>
    <row r="9943" spans="1:2" x14ac:dyDescent="0.25">
      <c r="A9943" s="4">
        <v>9938</v>
      </c>
      <c r="B9943" s="3" t="str">
        <f>"00681535"</f>
        <v>00681535</v>
      </c>
    </row>
    <row r="9944" spans="1:2" x14ac:dyDescent="0.25">
      <c r="A9944" s="4">
        <v>9939</v>
      </c>
      <c r="B9944" s="3" t="str">
        <f>"00681545"</f>
        <v>00681545</v>
      </c>
    </row>
    <row r="9945" spans="1:2" x14ac:dyDescent="0.25">
      <c r="A9945" s="4">
        <v>9940</v>
      </c>
      <c r="B9945" s="3" t="str">
        <f>"00681553"</f>
        <v>00681553</v>
      </c>
    </row>
    <row r="9946" spans="1:2" x14ac:dyDescent="0.25">
      <c r="A9946" s="4">
        <v>9941</v>
      </c>
      <c r="B9946" s="3" t="str">
        <f>"00681556"</f>
        <v>00681556</v>
      </c>
    </row>
    <row r="9947" spans="1:2" x14ac:dyDescent="0.25">
      <c r="A9947" s="4">
        <v>9942</v>
      </c>
      <c r="B9947" s="3" t="str">
        <f>"00681568"</f>
        <v>00681568</v>
      </c>
    </row>
    <row r="9948" spans="1:2" x14ac:dyDescent="0.25">
      <c r="A9948" s="4">
        <v>9943</v>
      </c>
      <c r="B9948" s="3" t="str">
        <f>"00681577"</f>
        <v>00681577</v>
      </c>
    </row>
    <row r="9949" spans="1:2" x14ac:dyDescent="0.25">
      <c r="A9949" s="4">
        <v>9944</v>
      </c>
      <c r="B9949" s="3" t="str">
        <f>"00681578"</f>
        <v>00681578</v>
      </c>
    </row>
    <row r="9950" spans="1:2" x14ac:dyDescent="0.25">
      <c r="A9950" s="4">
        <v>9945</v>
      </c>
      <c r="B9950" s="3" t="str">
        <f>"00681582"</f>
        <v>00681582</v>
      </c>
    </row>
    <row r="9951" spans="1:2" x14ac:dyDescent="0.25">
      <c r="A9951" s="4">
        <v>9946</v>
      </c>
      <c r="B9951" s="3" t="str">
        <f>"00681595"</f>
        <v>00681595</v>
      </c>
    </row>
    <row r="9952" spans="1:2" x14ac:dyDescent="0.25">
      <c r="A9952" s="4">
        <v>9947</v>
      </c>
      <c r="B9952" s="3" t="str">
        <f>"00681598"</f>
        <v>00681598</v>
      </c>
    </row>
    <row r="9953" spans="1:2" x14ac:dyDescent="0.25">
      <c r="A9953" s="4">
        <v>9948</v>
      </c>
      <c r="B9953" s="3" t="str">
        <f>"00681604"</f>
        <v>00681604</v>
      </c>
    </row>
    <row r="9954" spans="1:2" x14ac:dyDescent="0.25">
      <c r="A9954" s="4">
        <v>9949</v>
      </c>
      <c r="B9954" s="3" t="str">
        <f>"00681610"</f>
        <v>00681610</v>
      </c>
    </row>
    <row r="9955" spans="1:2" x14ac:dyDescent="0.25">
      <c r="A9955" s="4">
        <v>9950</v>
      </c>
      <c r="B9955" s="3" t="str">
        <f>"00681626"</f>
        <v>00681626</v>
      </c>
    </row>
    <row r="9956" spans="1:2" x14ac:dyDescent="0.25">
      <c r="A9956" s="4">
        <v>9951</v>
      </c>
      <c r="B9956" s="3" t="str">
        <f>"00681635"</f>
        <v>00681635</v>
      </c>
    </row>
    <row r="9957" spans="1:2" x14ac:dyDescent="0.25">
      <c r="A9957" s="4">
        <v>9952</v>
      </c>
      <c r="B9957" s="3" t="str">
        <f>"00681639"</f>
        <v>00681639</v>
      </c>
    </row>
    <row r="9958" spans="1:2" x14ac:dyDescent="0.25">
      <c r="A9958" s="4">
        <v>9953</v>
      </c>
      <c r="B9958" s="3" t="str">
        <f>"00681678"</f>
        <v>00681678</v>
      </c>
    </row>
    <row r="9959" spans="1:2" x14ac:dyDescent="0.25">
      <c r="A9959" s="4">
        <v>9954</v>
      </c>
      <c r="B9959" s="3" t="str">
        <f>"00681694"</f>
        <v>00681694</v>
      </c>
    </row>
    <row r="9960" spans="1:2" x14ac:dyDescent="0.25">
      <c r="A9960" s="4">
        <v>9955</v>
      </c>
      <c r="B9960" s="3" t="str">
        <f>"00681703"</f>
        <v>00681703</v>
      </c>
    </row>
    <row r="9961" spans="1:2" x14ac:dyDescent="0.25">
      <c r="A9961" s="4">
        <v>9956</v>
      </c>
      <c r="B9961" s="3" t="str">
        <f>"00681704"</f>
        <v>00681704</v>
      </c>
    </row>
    <row r="9962" spans="1:2" x14ac:dyDescent="0.25">
      <c r="A9962" s="4">
        <v>9957</v>
      </c>
      <c r="B9962" s="3" t="str">
        <f>"00681720"</f>
        <v>00681720</v>
      </c>
    </row>
    <row r="9963" spans="1:2" x14ac:dyDescent="0.25">
      <c r="A9963" s="4">
        <v>9958</v>
      </c>
      <c r="B9963" s="3" t="str">
        <f>"00681721"</f>
        <v>00681721</v>
      </c>
    </row>
    <row r="9964" spans="1:2" x14ac:dyDescent="0.25">
      <c r="A9964" s="4">
        <v>9959</v>
      </c>
      <c r="B9964" s="3" t="str">
        <f>"00681743"</f>
        <v>00681743</v>
      </c>
    </row>
    <row r="9965" spans="1:2" x14ac:dyDescent="0.25">
      <c r="A9965" s="4">
        <v>9960</v>
      </c>
      <c r="B9965" s="3" t="str">
        <f>"00681751"</f>
        <v>00681751</v>
      </c>
    </row>
    <row r="9966" spans="1:2" x14ac:dyDescent="0.25">
      <c r="A9966" s="4">
        <v>9961</v>
      </c>
      <c r="B9966" s="3" t="str">
        <f>"00681756"</f>
        <v>00681756</v>
      </c>
    </row>
    <row r="9967" spans="1:2" x14ac:dyDescent="0.25">
      <c r="A9967" s="4">
        <v>9962</v>
      </c>
      <c r="B9967" s="3" t="str">
        <f>"00681759"</f>
        <v>00681759</v>
      </c>
    </row>
    <row r="9968" spans="1:2" x14ac:dyDescent="0.25">
      <c r="A9968" s="4">
        <v>9963</v>
      </c>
      <c r="B9968" s="3" t="str">
        <f>"00681761"</f>
        <v>00681761</v>
      </c>
    </row>
    <row r="9969" spans="1:2" x14ac:dyDescent="0.25">
      <c r="A9969" s="4">
        <v>9964</v>
      </c>
      <c r="B9969" s="3" t="str">
        <f>"00681770"</f>
        <v>00681770</v>
      </c>
    </row>
    <row r="9970" spans="1:2" x14ac:dyDescent="0.25">
      <c r="A9970" s="4">
        <v>9965</v>
      </c>
      <c r="B9970" s="3" t="str">
        <f>"00681782"</f>
        <v>00681782</v>
      </c>
    </row>
    <row r="9971" spans="1:2" x14ac:dyDescent="0.25">
      <c r="A9971" s="4">
        <v>9966</v>
      </c>
      <c r="B9971" s="3" t="str">
        <f>"00681789"</f>
        <v>00681789</v>
      </c>
    </row>
    <row r="9972" spans="1:2" x14ac:dyDescent="0.25">
      <c r="A9972" s="4">
        <v>9967</v>
      </c>
      <c r="B9972" s="3" t="str">
        <f>"00681841"</f>
        <v>00681841</v>
      </c>
    </row>
    <row r="9973" spans="1:2" x14ac:dyDescent="0.25">
      <c r="A9973" s="4">
        <v>9968</v>
      </c>
      <c r="B9973" s="3" t="str">
        <f>"00681863"</f>
        <v>00681863</v>
      </c>
    </row>
    <row r="9974" spans="1:2" x14ac:dyDescent="0.25">
      <c r="A9974" s="4">
        <v>9969</v>
      </c>
      <c r="B9974" s="3" t="str">
        <f>"00681875"</f>
        <v>00681875</v>
      </c>
    </row>
    <row r="9975" spans="1:2" x14ac:dyDescent="0.25">
      <c r="A9975" s="4">
        <v>9970</v>
      </c>
      <c r="B9975" s="3" t="str">
        <f>"00681878"</f>
        <v>00681878</v>
      </c>
    </row>
    <row r="9976" spans="1:2" x14ac:dyDescent="0.25">
      <c r="A9976" s="4">
        <v>9971</v>
      </c>
      <c r="B9976" s="3" t="str">
        <f>"00681880"</f>
        <v>00681880</v>
      </c>
    </row>
    <row r="9977" spans="1:2" x14ac:dyDescent="0.25">
      <c r="A9977" s="4">
        <v>9972</v>
      </c>
      <c r="B9977" s="3" t="str">
        <f>"00681886"</f>
        <v>00681886</v>
      </c>
    </row>
    <row r="9978" spans="1:2" x14ac:dyDescent="0.25">
      <c r="A9978" s="4">
        <v>9973</v>
      </c>
      <c r="B9978" s="3" t="str">
        <f>"00681899"</f>
        <v>00681899</v>
      </c>
    </row>
    <row r="9979" spans="1:2" x14ac:dyDescent="0.25">
      <c r="A9979" s="4">
        <v>9974</v>
      </c>
      <c r="B9979" s="3" t="str">
        <f>"00681921"</f>
        <v>00681921</v>
      </c>
    </row>
    <row r="9980" spans="1:2" x14ac:dyDescent="0.25">
      <c r="A9980" s="4">
        <v>9975</v>
      </c>
      <c r="B9980" s="3" t="str">
        <f>"00681927"</f>
        <v>00681927</v>
      </c>
    </row>
    <row r="9981" spans="1:2" x14ac:dyDescent="0.25">
      <c r="A9981" s="4">
        <v>9976</v>
      </c>
      <c r="B9981" s="3" t="str">
        <f>"00681932"</f>
        <v>00681932</v>
      </c>
    </row>
    <row r="9982" spans="1:2" x14ac:dyDescent="0.25">
      <c r="A9982" s="4">
        <v>9977</v>
      </c>
      <c r="B9982" s="3" t="str">
        <f>"00681938"</f>
        <v>00681938</v>
      </c>
    </row>
    <row r="9983" spans="1:2" x14ac:dyDescent="0.25">
      <c r="A9983" s="4">
        <v>9978</v>
      </c>
      <c r="B9983" s="3" t="str">
        <f>"00681944"</f>
        <v>00681944</v>
      </c>
    </row>
    <row r="9984" spans="1:2" x14ac:dyDescent="0.25">
      <c r="A9984" s="4">
        <v>9979</v>
      </c>
      <c r="B9984" s="3" t="str">
        <f>"00681967"</f>
        <v>00681967</v>
      </c>
    </row>
    <row r="9985" spans="1:2" x14ac:dyDescent="0.25">
      <c r="A9985" s="4">
        <v>9980</v>
      </c>
      <c r="B9985" s="3" t="str">
        <f>"00681998"</f>
        <v>00681998</v>
      </c>
    </row>
    <row r="9986" spans="1:2" x14ac:dyDescent="0.25">
      <c r="A9986" s="4">
        <v>9981</v>
      </c>
      <c r="B9986" s="3" t="str">
        <f>"00682016"</f>
        <v>00682016</v>
      </c>
    </row>
    <row r="9987" spans="1:2" x14ac:dyDescent="0.25">
      <c r="A9987" s="4">
        <v>9982</v>
      </c>
      <c r="B9987" s="3" t="str">
        <f>"00682053"</f>
        <v>00682053</v>
      </c>
    </row>
    <row r="9988" spans="1:2" x14ac:dyDescent="0.25">
      <c r="A9988" s="4">
        <v>9983</v>
      </c>
      <c r="B9988" s="3" t="str">
        <f>"00682079"</f>
        <v>00682079</v>
      </c>
    </row>
    <row r="9989" spans="1:2" x14ac:dyDescent="0.25">
      <c r="A9989" s="4">
        <v>9984</v>
      </c>
      <c r="B9989" s="3" t="str">
        <f>"00682149"</f>
        <v>00682149</v>
      </c>
    </row>
    <row r="9990" spans="1:2" x14ac:dyDescent="0.25">
      <c r="A9990" s="4">
        <v>9985</v>
      </c>
      <c r="B9990" s="3" t="str">
        <f>"00682167"</f>
        <v>00682167</v>
      </c>
    </row>
    <row r="9991" spans="1:2" x14ac:dyDescent="0.25">
      <c r="A9991" s="4">
        <v>9986</v>
      </c>
      <c r="B9991" s="3" t="str">
        <f>"00682177"</f>
        <v>00682177</v>
      </c>
    </row>
    <row r="9992" spans="1:2" x14ac:dyDescent="0.25">
      <c r="A9992" s="4">
        <v>9987</v>
      </c>
      <c r="B9992" s="3" t="str">
        <f>"00682181"</f>
        <v>00682181</v>
      </c>
    </row>
    <row r="9993" spans="1:2" x14ac:dyDescent="0.25">
      <c r="A9993" s="4">
        <v>9988</v>
      </c>
      <c r="B9993" s="3" t="str">
        <f>"00682186"</f>
        <v>00682186</v>
      </c>
    </row>
    <row r="9994" spans="1:2" x14ac:dyDescent="0.25">
      <c r="A9994" s="4">
        <v>9989</v>
      </c>
      <c r="B9994" s="3" t="str">
        <f>"00682198"</f>
        <v>00682198</v>
      </c>
    </row>
    <row r="9995" spans="1:2" x14ac:dyDescent="0.25">
      <c r="A9995" s="4">
        <v>9990</v>
      </c>
      <c r="B9995" s="3" t="str">
        <f>"00682203"</f>
        <v>00682203</v>
      </c>
    </row>
    <row r="9996" spans="1:2" x14ac:dyDescent="0.25">
      <c r="A9996" s="4">
        <v>9991</v>
      </c>
      <c r="B9996" s="3" t="str">
        <f>"00682221"</f>
        <v>00682221</v>
      </c>
    </row>
    <row r="9997" spans="1:2" x14ac:dyDescent="0.25">
      <c r="A9997" s="4">
        <v>9992</v>
      </c>
      <c r="B9997" s="3" t="str">
        <f>"00682228"</f>
        <v>00682228</v>
      </c>
    </row>
    <row r="9998" spans="1:2" x14ac:dyDescent="0.25">
      <c r="A9998" s="4">
        <v>9993</v>
      </c>
      <c r="B9998" s="3" t="str">
        <f>"00682229"</f>
        <v>00682229</v>
      </c>
    </row>
    <row r="9999" spans="1:2" x14ac:dyDescent="0.25">
      <c r="A9999" s="4">
        <v>9994</v>
      </c>
      <c r="B9999" s="3" t="str">
        <f>"00682245"</f>
        <v>00682245</v>
      </c>
    </row>
    <row r="10000" spans="1:2" x14ac:dyDescent="0.25">
      <c r="A10000" s="4">
        <v>9995</v>
      </c>
      <c r="B10000" s="3" t="str">
        <f>"00682246"</f>
        <v>00682246</v>
      </c>
    </row>
    <row r="10001" spans="1:2" x14ac:dyDescent="0.25">
      <c r="A10001" s="4">
        <v>9996</v>
      </c>
      <c r="B10001" s="3" t="str">
        <f>"00682250"</f>
        <v>00682250</v>
      </c>
    </row>
    <row r="10002" spans="1:2" x14ac:dyDescent="0.25">
      <c r="A10002" s="4">
        <v>9997</v>
      </c>
      <c r="B10002" s="3" t="str">
        <f>"00682254"</f>
        <v>00682254</v>
      </c>
    </row>
    <row r="10003" spans="1:2" x14ac:dyDescent="0.25">
      <c r="A10003" s="4">
        <v>9998</v>
      </c>
      <c r="B10003" s="3" t="str">
        <f>"00682264"</f>
        <v>00682264</v>
      </c>
    </row>
    <row r="10004" spans="1:2" x14ac:dyDescent="0.25">
      <c r="A10004" s="4">
        <v>9999</v>
      </c>
      <c r="B10004" s="3" t="str">
        <f>"00682269"</f>
        <v>00682269</v>
      </c>
    </row>
    <row r="10005" spans="1:2" x14ac:dyDescent="0.25">
      <c r="A10005" s="4">
        <v>10000</v>
      </c>
      <c r="B10005" s="3" t="str">
        <f>"00682270"</f>
        <v>00682270</v>
      </c>
    </row>
    <row r="10006" spans="1:2" x14ac:dyDescent="0.25">
      <c r="A10006" s="4">
        <v>10001</v>
      </c>
      <c r="B10006" s="3" t="str">
        <f>"00682284"</f>
        <v>00682284</v>
      </c>
    </row>
    <row r="10007" spans="1:2" x14ac:dyDescent="0.25">
      <c r="A10007" s="4">
        <v>10002</v>
      </c>
      <c r="B10007" s="3" t="str">
        <f>"00682287"</f>
        <v>00682287</v>
      </c>
    </row>
    <row r="10008" spans="1:2" x14ac:dyDescent="0.25">
      <c r="A10008" s="4">
        <v>10003</v>
      </c>
      <c r="B10008" s="3" t="str">
        <f>"00682295"</f>
        <v>00682295</v>
      </c>
    </row>
    <row r="10009" spans="1:2" x14ac:dyDescent="0.25">
      <c r="A10009" s="4">
        <v>10004</v>
      </c>
      <c r="B10009" s="3" t="str">
        <f>"00682301"</f>
        <v>00682301</v>
      </c>
    </row>
    <row r="10010" spans="1:2" x14ac:dyDescent="0.25">
      <c r="A10010" s="4">
        <v>10005</v>
      </c>
      <c r="B10010" s="3" t="str">
        <f>"00682302"</f>
        <v>00682302</v>
      </c>
    </row>
    <row r="10011" spans="1:2" x14ac:dyDescent="0.25">
      <c r="A10011" s="4">
        <v>10006</v>
      </c>
      <c r="B10011" s="3" t="str">
        <f>"00682306"</f>
        <v>00682306</v>
      </c>
    </row>
    <row r="10012" spans="1:2" x14ac:dyDescent="0.25">
      <c r="A10012" s="4">
        <v>10007</v>
      </c>
      <c r="B10012" s="3" t="str">
        <f>"00682310"</f>
        <v>00682310</v>
      </c>
    </row>
    <row r="10013" spans="1:2" x14ac:dyDescent="0.25">
      <c r="A10013" s="4">
        <v>10008</v>
      </c>
      <c r="B10013" s="3" t="str">
        <f>"00682313"</f>
        <v>00682313</v>
      </c>
    </row>
    <row r="10014" spans="1:2" x14ac:dyDescent="0.25">
      <c r="A10014" s="4">
        <v>10009</v>
      </c>
      <c r="B10014" s="3" t="str">
        <f>"00682333"</f>
        <v>00682333</v>
      </c>
    </row>
    <row r="10015" spans="1:2" x14ac:dyDescent="0.25">
      <c r="A10015" s="4">
        <v>10010</v>
      </c>
      <c r="B10015" s="3" t="str">
        <f>"00682336"</f>
        <v>00682336</v>
      </c>
    </row>
    <row r="10016" spans="1:2" x14ac:dyDescent="0.25">
      <c r="A10016" s="4">
        <v>10011</v>
      </c>
      <c r="B10016" s="3" t="str">
        <f>"00682352"</f>
        <v>00682352</v>
      </c>
    </row>
    <row r="10017" spans="1:2" x14ac:dyDescent="0.25">
      <c r="A10017" s="4">
        <v>10012</v>
      </c>
      <c r="B10017" s="3" t="str">
        <f>"00682357"</f>
        <v>00682357</v>
      </c>
    </row>
    <row r="10018" spans="1:2" x14ac:dyDescent="0.25">
      <c r="A10018" s="4">
        <v>10013</v>
      </c>
      <c r="B10018" s="3" t="str">
        <f>"00682358"</f>
        <v>00682358</v>
      </c>
    </row>
    <row r="10019" spans="1:2" x14ac:dyDescent="0.25">
      <c r="A10019" s="4">
        <v>10014</v>
      </c>
      <c r="B10019" s="3" t="str">
        <f>"00682383"</f>
        <v>00682383</v>
      </c>
    </row>
    <row r="10020" spans="1:2" x14ac:dyDescent="0.25">
      <c r="A10020" s="4">
        <v>10015</v>
      </c>
      <c r="B10020" s="3" t="str">
        <f>"00682397"</f>
        <v>00682397</v>
      </c>
    </row>
    <row r="10021" spans="1:2" x14ac:dyDescent="0.25">
      <c r="A10021" s="4">
        <v>10016</v>
      </c>
      <c r="B10021" s="3" t="str">
        <f>"00682401"</f>
        <v>00682401</v>
      </c>
    </row>
    <row r="10022" spans="1:2" x14ac:dyDescent="0.25">
      <c r="A10022" s="4">
        <v>10017</v>
      </c>
      <c r="B10022" s="3" t="str">
        <f>"00682403"</f>
        <v>00682403</v>
      </c>
    </row>
    <row r="10023" spans="1:2" x14ac:dyDescent="0.25">
      <c r="A10023" s="4">
        <v>10018</v>
      </c>
      <c r="B10023" s="3" t="str">
        <f>"00682408"</f>
        <v>00682408</v>
      </c>
    </row>
    <row r="10024" spans="1:2" x14ac:dyDescent="0.25">
      <c r="A10024" s="4">
        <v>10019</v>
      </c>
      <c r="B10024" s="3" t="str">
        <f>"00682422"</f>
        <v>00682422</v>
      </c>
    </row>
    <row r="10025" spans="1:2" x14ac:dyDescent="0.25">
      <c r="A10025" s="4">
        <v>10020</v>
      </c>
      <c r="B10025" s="3" t="str">
        <f>"00682423"</f>
        <v>00682423</v>
      </c>
    </row>
    <row r="10026" spans="1:2" x14ac:dyDescent="0.25">
      <c r="A10026" s="4">
        <v>10021</v>
      </c>
      <c r="B10026" s="3" t="str">
        <f>"00682431"</f>
        <v>00682431</v>
      </c>
    </row>
    <row r="10027" spans="1:2" x14ac:dyDescent="0.25">
      <c r="A10027" s="4">
        <v>10022</v>
      </c>
      <c r="B10027" s="3" t="str">
        <f>"00682446"</f>
        <v>00682446</v>
      </c>
    </row>
    <row r="10028" spans="1:2" x14ac:dyDescent="0.25">
      <c r="A10028" s="4">
        <v>10023</v>
      </c>
      <c r="B10028" s="3" t="str">
        <f>"00682454"</f>
        <v>00682454</v>
      </c>
    </row>
    <row r="10029" spans="1:2" x14ac:dyDescent="0.25">
      <c r="A10029" s="4">
        <v>10024</v>
      </c>
      <c r="B10029" s="3" t="str">
        <f>"00682462"</f>
        <v>00682462</v>
      </c>
    </row>
    <row r="10030" spans="1:2" x14ac:dyDescent="0.25">
      <c r="A10030" s="4">
        <v>10025</v>
      </c>
      <c r="B10030" s="3" t="str">
        <f>"00682471"</f>
        <v>00682471</v>
      </c>
    </row>
    <row r="10031" spans="1:2" x14ac:dyDescent="0.25">
      <c r="A10031" s="4">
        <v>10026</v>
      </c>
      <c r="B10031" s="3" t="str">
        <f>"00682481"</f>
        <v>00682481</v>
      </c>
    </row>
    <row r="10032" spans="1:2" x14ac:dyDescent="0.25">
      <c r="A10032" s="4">
        <v>10027</v>
      </c>
      <c r="B10032" s="3" t="str">
        <f>"00682485"</f>
        <v>00682485</v>
      </c>
    </row>
    <row r="10033" spans="1:2" x14ac:dyDescent="0.25">
      <c r="A10033" s="4">
        <v>10028</v>
      </c>
      <c r="B10033" s="3" t="str">
        <f>"00682494"</f>
        <v>00682494</v>
      </c>
    </row>
    <row r="10034" spans="1:2" x14ac:dyDescent="0.25">
      <c r="A10034" s="4">
        <v>10029</v>
      </c>
      <c r="B10034" s="3" t="str">
        <f>"00682496"</f>
        <v>00682496</v>
      </c>
    </row>
    <row r="10035" spans="1:2" x14ac:dyDescent="0.25">
      <c r="A10035" s="4">
        <v>10030</v>
      </c>
      <c r="B10035" s="3" t="str">
        <f>"00682509"</f>
        <v>00682509</v>
      </c>
    </row>
    <row r="10036" spans="1:2" x14ac:dyDescent="0.25">
      <c r="A10036" s="4">
        <v>10031</v>
      </c>
      <c r="B10036" s="3" t="str">
        <f>"00682510"</f>
        <v>00682510</v>
      </c>
    </row>
    <row r="10037" spans="1:2" x14ac:dyDescent="0.25">
      <c r="A10037" s="4">
        <v>10032</v>
      </c>
      <c r="B10037" s="3" t="str">
        <f>"00682513"</f>
        <v>00682513</v>
      </c>
    </row>
    <row r="10038" spans="1:2" x14ac:dyDescent="0.25">
      <c r="A10038" s="4">
        <v>10033</v>
      </c>
      <c r="B10038" s="3" t="str">
        <f>"00682543"</f>
        <v>00682543</v>
      </c>
    </row>
    <row r="10039" spans="1:2" x14ac:dyDescent="0.25">
      <c r="A10039" s="4">
        <v>10034</v>
      </c>
      <c r="B10039" s="3" t="str">
        <f>"00682553"</f>
        <v>00682553</v>
      </c>
    </row>
    <row r="10040" spans="1:2" x14ac:dyDescent="0.25">
      <c r="A10040" s="4">
        <v>10035</v>
      </c>
      <c r="B10040" s="3" t="str">
        <f>"00682555"</f>
        <v>00682555</v>
      </c>
    </row>
    <row r="10041" spans="1:2" x14ac:dyDescent="0.25">
      <c r="A10041" s="4">
        <v>10036</v>
      </c>
      <c r="B10041" s="3" t="str">
        <f>"00682557"</f>
        <v>00682557</v>
      </c>
    </row>
    <row r="10042" spans="1:2" x14ac:dyDescent="0.25">
      <c r="A10042" s="4">
        <v>10037</v>
      </c>
      <c r="B10042" s="3" t="str">
        <f>"00682559"</f>
        <v>00682559</v>
      </c>
    </row>
    <row r="10043" spans="1:2" x14ac:dyDescent="0.25">
      <c r="A10043" s="4">
        <v>10038</v>
      </c>
      <c r="B10043" s="3" t="str">
        <f>"00682587"</f>
        <v>00682587</v>
      </c>
    </row>
    <row r="10044" spans="1:2" x14ac:dyDescent="0.25">
      <c r="A10044" s="4">
        <v>10039</v>
      </c>
      <c r="B10044" s="3" t="str">
        <f>"00682591"</f>
        <v>00682591</v>
      </c>
    </row>
    <row r="10045" spans="1:2" x14ac:dyDescent="0.25">
      <c r="A10045" s="4">
        <v>10040</v>
      </c>
      <c r="B10045" s="3" t="str">
        <f>"00682602"</f>
        <v>00682602</v>
      </c>
    </row>
    <row r="10046" spans="1:2" x14ac:dyDescent="0.25">
      <c r="A10046" s="4">
        <v>10041</v>
      </c>
      <c r="B10046" s="3" t="str">
        <f>"00682604"</f>
        <v>00682604</v>
      </c>
    </row>
    <row r="10047" spans="1:2" x14ac:dyDescent="0.25">
      <c r="A10047" s="4">
        <v>10042</v>
      </c>
      <c r="B10047" s="3" t="str">
        <f>"00682608"</f>
        <v>00682608</v>
      </c>
    </row>
    <row r="10048" spans="1:2" x14ac:dyDescent="0.25">
      <c r="A10048" s="4">
        <v>10043</v>
      </c>
      <c r="B10048" s="3" t="str">
        <f>"00682612"</f>
        <v>00682612</v>
      </c>
    </row>
    <row r="10049" spans="1:2" x14ac:dyDescent="0.25">
      <c r="A10049" s="4">
        <v>10044</v>
      </c>
      <c r="B10049" s="3" t="str">
        <f>"00682614"</f>
        <v>00682614</v>
      </c>
    </row>
    <row r="10050" spans="1:2" x14ac:dyDescent="0.25">
      <c r="A10050" s="4">
        <v>10045</v>
      </c>
      <c r="B10050" s="3" t="str">
        <f>"00682632"</f>
        <v>00682632</v>
      </c>
    </row>
    <row r="10051" spans="1:2" x14ac:dyDescent="0.25">
      <c r="A10051" s="4">
        <v>10046</v>
      </c>
      <c r="B10051" s="3" t="str">
        <f>"00682633"</f>
        <v>00682633</v>
      </c>
    </row>
    <row r="10052" spans="1:2" x14ac:dyDescent="0.25">
      <c r="A10052" s="4">
        <v>10047</v>
      </c>
      <c r="B10052" s="3" t="str">
        <f>"00682636"</f>
        <v>00682636</v>
      </c>
    </row>
    <row r="10053" spans="1:2" x14ac:dyDescent="0.25">
      <c r="A10053" s="4">
        <v>10048</v>
      </c>
      <c r="B10053" s="3" t="str">
        <f>"00682658"</f>
        <v>00682658</v>
      </c>
    </row>
    <row r="10054" spans="1:2" x14ac:dyDescent="0.25">
      <c r="A10054" s="4">
        <v>10049</v>
      </c>
      <c r="B10054" s="3" t="str">
        <f>"00682661"</f>
        <v>00682661</v>
      </c>
    </row>
    <row r="10055" spans="1:2" x14ac:dyDescent="0.25">
      <c r="A10055" s="4">
        <v>10050</v>
      </c>
      <c r="B10055" s="3" t="str">
        <f>"00682665"</f>
        <v>00682665</v>
      </c>
    </row>
    <row r="10056" spans="1:2" x14ac:dyDescent="0.25">
      <c r="A10056" s="4">
        <v>10051</v>
      </c>
      <c r="B10056" s="3" t="str">
        <f>"00682671"</f>
        <v>00682671</v>
      </c>
    </row>
    <row r="10057" spans="1:2" x14ac:dyDescent="0.25">
      <c r="A10057" s="4">
        <v>10052</v>
      </c>
      <c r="B10057" s="3" t="str">
        <f>"00682686"</f>
        <v>00682686</v>
      </c>
    </row>
    <row r="10058" spans="1:2" x14ac:dyDescent="0.25">
      <c r="A10058" s="4">
        <v>10053</v>
      </c>
      <c r="B10058" s="3" t="str">
        <f>"00682717"</f>
        <v>00682717</v>
      </c>
    </row>
    <row r="10059" spans="1:2" x14ac:dyDescent="0.25">
      <c r="A10059" s="4">
        <v>10054</v>
      </c>
      <c r="B10059" s="3" t="str">
        <f>"00682719"</f>
        <v>00682719</v>
      </c>
    </row>
    <row r="10060" spans="1:2" x14ac:dyDescent="0.25">
      <c r="A10060" s="4">
        <v>10055</v>
      </c>
      <c r="B10060" s="3" t="str">
        <f>"00682727"</f>
        <v>00682727</v>
      </c>
    </row>
    <row r="10061" spans="1:2" x14ac:dyDescent="0.25">
      <c r="A10061" s="4">
        <v>10056</v>
      </c>
      <c r="B10061" s="3" t="str">
        <f>"00682730"</f>
        <v>00682730</v>
      </c>
    </row>
    <row r="10062" spans="1:2" x14ac:dyDescent="0.25">
      <c r="A10062" s="4">
        <v>10057</v>
      </c>
      <c r="B10062" s="3" t="str">
        <f>"00682741"</f>
        <v>00682741</v>
      </c>
    </row>
    <row r="10063" spans="1:2" x14ac:dyDescent="0.25">
      <c r="A10063" s="4">
        <v>10058</v>
      </c>
      <c r="B10063" s="3" t="str">
        <f>"00682746"</f>
        <v>00682746</v>
      </c>
    </row>
    <row r="10064" spans="1:2" x14ac:dyDescent="0.25">
      <c r="A10064" s="4">
        <v>10059</v>
      </c>
      <c r="B10064" s="3" t="str">
        <f>"00682749"</f>
        <v>00682749</v>
      </c>
    </row>
    <row r="10065" spans="1:2" x14ac:dyDescent="0.25">
      <c r="A10065" s="4">
        <v>10060</v>
      </c>
      <c r="B10065" s="3" t="str">
        <f>"00682784"</f>
        <v>00682784</v>
      </c>
    </row>
    <row r="10066" spans="1:2" x14ac:dyDescent="0.25">
      <c r="A10066" s="4">
        <v>10061</v>
      </c>
      <c r="B10066" s="3" t="str">
        <f>"00682796"</f>
        <v>00682796</v>
      </c>
    </row>
    <row r="10067" spans="1:2" x14ac:dyDescent="0.25">
      <c r="A10067" s="4">
        <v>10062</v>
      </c>
      <c r="B10067" s="3" t="str">
        <f>"00682806"</f>
        <v>00682806</v>
      </c>
    </row>
    <row r="10068" spans="1:2" x14ac:dyDescent="0.25">
      <c r="A10068" s="4">
        <v>10063</v>
      </c>
      <c r="B10068" s="3" t="str">
        <f>"00682809"</f>
        <v>00682809</v>
      </c>
    </row>
    <row r="10069" spans="1:2" x14ac:dyDescent="0.25">
      <c r="A10069" s="4">
        <v>10064</v>
      </c>
      <c r="B10069" s="3" t="str">
        <f>"00682817"</f>
        <v>00682817</v>
      </c>
    </row>
    <row r="10070" spans="1:2" x14ac:dyDescent="0.25">
      <c r="A10070" s="4">
        <v>10065</v>
      </c>
      <c r="B10070" s="3" t="str">
        <f>"00682857"</f>
        <v>00682857</v>
      </c>
    </row>
    <row r="10071" spans="1:2" x14ac:dyDescent="0.25">
      <c r="A10071" s="4">
        <v>10066</v>
      </c>
      <c r="B10071" s="3" t="str">
        <f>"00682875"</f>
        <v>00682875</v>
      </c>
    </row>
    <row r="10072" spans="1:2" x14ac:dyDescent="0.25">
      <c r="A10072" s="4">
        <v>10067</v>
      </c>
      <c r="B10072" s="3" t="str">
        <f>"00682877"</f>
        <v>00682877</v>
      </c>
    </row>
    <row r="10073" spans="1:2" x14ac:dyDescent="0.25">
      <c r="A10073" s="4">
        <v>10068</v>
      </c>
      <c r="B10073" s="3" t="str">
        <f>"00682885"</f>
        <v>00682885</v>
      </c>
    </row>
    <row r="10074" spans="1:2" x14ac:dyDescent="0.25">
      <c r="A10074" s="4">
        <v>10069</v>
      </c>
      <c r="B10074" s="3" t="str">
        <f>"00682902"</f>
        <v>00682902</v>
      </c>
    </row>
    <row r="10075" spans="1:2" x14ac:dyDescent="0.25">
      <c r="A10075" s="4">
        <v>10070</v>
      </c>
      <c r="B10075" s="3" t="str">
        <f>"00682916"</f>
        <v>00682916</v>
      </c>
    </row>
    <row r="10076" spans="1:2" x14ac:dyDescent="0.25">
      <c r="A10076" s="4">
        <v>10071</v>
      </c>
      <c r="B10076" s="3" t="str">
        <f>"00682930"</f>
        <v>00682930</v>
      </c>
    </row>
    <row r="10077" spans="1:2" x14ac:dyDescent="0.25">
      <c r="A10077" s="4">
        <v>10072</v>
      </c>
      <c r="B10077" s="3" t="str">
        <f>"00682954"</f>
        <v>00682954</v>
      </c>
    </row>
    <row r="10078" spans="1:2" x14ac:dyDescent="0.25">
      <c r="A10078" s="4">
        <v>10073</v>
      </c>
      <c r="B10078" s="3" t="str">
        <f>"00682964"</f>
        <v>00682964</v>
      </c>
    </row>
    <row r="10079" spans="1:2" x14ac:dyDescent="0.25">
      <c r="A10079" s="4">
        <v>10074</v>
      </c>
      <c r="B10079" s="3" t="str">
        <f>"00682975"</f>
        <v>00682975</v>
      </c>
    </row>
    <row r="10080" spans="1:2" x14ac:dyDescent="0.25">
      <c r="A10080" s="4">
        <v>10075</v>
      </c>
      <c r="B10080" s="3" t="str">
        <f>"00682981"</f>
        <v>00682981</v>
      </c>
    </row>
    <row r="10081" spans="1:2" x14ac:dyDescent="0.25">
      <c r="A10081" s="4">
        <v>10076</v>
      </c>
      <c r="B10081" s="3" t="str">
        <f>"00682982"</f>
        <v>00682982</v>
      </c>
    </row>
    <row r="10082" spans="1:2" x14ac:dyDescent="0.25">
      <c r="A10082" s="4">
        <v>10077</v>
      </c>
      <c r="B10082" s="3" t="str">
        <f>"00683025"</f>
        <v>00683025</v>
      </c>
    </row>
    <row r="10083" spans="1:2" x14ac:dyDescent="0.25">
      <c r="A10083" s="4">
        <v>10078</v>
      </c>
      <c r="B10083" s="3" t="str">
        <f>"00683037"</f>
        <v>00683037</v>
      </c>
    </row>
    <row r="10084" spans="1:2" x14ac:dyDescent="0.25">
      <c r="A10084" s="4">
        <v>10079</v>
      </c>
      <c r="B10084" s="3" t="str">
        <f>"00683044"</f>
        <v>00683044</v>
      </c>
    </row>
    <row r="10085" spans="1:2" x14ac:dyDescent="0.25">
      <c r="A10085" s="4">
        <v>10080</v>
      </c>
      <c r="B10085" s="3" t="str">
        <f>"00683047"</f>
        <v>00683047</v>
      </c>
    </row>
    <row r="10086" spans="1:2" x14ac:dyDescent="0.25">
      <c r="A10086" s="4">
        <v>10081</v>
      </c>
      <c r="B10086" s="3" t="str">
        <f>"00683052"</f>
        <v>00683052</v>
      </c>
    </row>
    <row r="10087" spans="1:2" x14ac:dyDescent="0.25">
      <c r="A10087" s="4">
        <v>10082</v>
      </c>
      <c r="B10087" s="3" t="str">
        <f>"00683062"</f>
        <v>00683062</v>
      </c>
    </row>
    <row r="10088" spans="1:2" x14ac:dyDescent="0.25">
      <c r="A10088" s="4">
        <v>10083</v>
      </c>
      <c r="B10088" s="3" t="str">
        <f>"00683073"</f>
        <v>00683073</v>
      </c>
    </row>
    <row r="10089" spans="1:2" x14ac:dyDescent="0.25">
      <c r="A10089" s="4">
        <v>10084</v>
      </c>
      <c r="B10089" s="3" t="str">
        <f>"00683074"</f>
        <v>00683074</v>
      </c>
    </row>
    <row r="10090" spans="1:2" x14ac:dyDescent="0.25">
      <c r="A10090" s="4">
        <v>10085</v>
      </c>
      <c r="B10090" s="3" t="str">
        <f>"00683094"</f>
        <v>00683094</v>
      </c>
    </row>
    <row r="10091" spans="1:2" x14ac:dyDescent="0.25">
      <c r="A10091" s="4">
        <v>10086</v>
      </c>
      <c r="B10091" s="3" t="str">
        <f>"00683119"</f>
        <v>00683119</v>
      </c>
    </row>
    <row r="10092" spans="1:2" x14ac:dyDescent="0.25">
      <c r="A10092" s="4">
        <v>10087</v>
      </c>
      <c r="B10092" s="3" t="str">
        <f>"00683130"</f>
        <v>00683130</v>
      </c>
    </row>
    <row r="10093" spans="1:2" x14ac:dyDescent="0.25">
      <c r="A10093" s="4">
        <v>10088</v>
      </c>
      <c r="B10093" s="3" t="str">
        <f>"00683153"</f>
        <v>00683153</v>
      </c>
    </row>
    <row r="10094" spans="1:2" x14ac:dyDescent="0.25">
      <c r="A10094" s="4">
        <v>10089</v>
      </c>
      <c r="B10094" s="3" t="str">
        <f>"00683154"</f>
        <v>00683154</v>
      </c>
    </row>
    <row r="10095" spans="1:2" x14ac:dyDescent="0.25">
      <c r="A10095" s="4">
        <v>10090</v>
      </c>
      <c r="B10095" s="3" t="str">
        <f>"00683185"</f>
        <v>00683185</v>
      </c>
    </row>
    <row r="10096" spans="1:2" x14ac:dyDescent="0.25">
      <c r="A10096" s="4">
        <v>10091</v>
      </c>
      <c r="B10096" s="3" t="str">
        <f>"00683189"</f>
        <v>00683189</v>
      </c>
    </row>
    <row r="10097" spans="1:2" x14ac:dyDescent="0.25">
      <c r="A10097" s="4">
        <v>10092</v>
      </c>
      <c r="B10097" s="3" t="str">
        <f>"00683190"</f>
        <v>00683190</v>
      </c>
    </row>
    <row r="10098" spans="1:2" x14ac:dyDescent="0.25">
      <c r="A10098" s="4">
        <v>10093</v>
      </c>
      <c r="B10098" s="3" t="str">
        <f>"00683200"</f>
        <v>00683200</v>
      </c>
    </row>
    <row r="10099" spans="1:2" x14ac:dyDescent="0.25">
      <c r="A10099" s="4">
        <v>10094</v>
      </c>
      <c r="B10099" s="3" t="str">
        <f>"00683211"</f>
        <v>00683211</v>
      </c>
    </row>
    <row r="10100" spans="1:2" x14ac:dyDescent="0.25">
      <c r="A10100" s="4">
        <v>10095</v>
      </c>
      <c r="B10100" s="3" t="str">
        <f>"00683212"</f>
        <v>00683212</v>
      </c>
    </row>
    <row r="10101" spans="1:2" x14ac:dyDescent="0.25">
      <c r="A10101" s="4">
        <v>10096</v>
      </c>
      <c r="B10101" s="3" t="str">
        <f>"00683219"</f>
        <v>00683219</v>
      </c>
    </row>
    <row r="10102" spans="1:2" x14ac:dyDescent="0.25">
      <c r="A10102" s="4">
        <v>10097</v>
      </c>
      <c r="B10102" s="3" t="str">
        <f>"00683221"</f>
        <v>00683221</v>
      </c>
    </row>
    <row r="10103" spans="1:2" x14ac:dyDescent="0.25">
      <c r="A10103" s="4">
        <v>10098</v>
      </c>
      <c r="B10103" s="3" t="str">
        <f>"00683222"</f>
        <v>00683222</v>
      </c>
    </row>
    <row r="10104" spans="1:2" x14ac:dyDescent="0.25">
      <c r="A10104" s="4">
        <v>10099</v>
      </c>
      <c r="B10104" s="3" t="str">
        <f>"00683236"</f>
        <v>00683236</v>
      </c>
    </row>
    <row r="10105" spans="1:2" x14ac:dyDescent="0.25">
      <c r="A10105" s="4">
        <v>10100</v>
      </c>
      <c r="B10105" s="3" t="str">
        <f>"00683245"</f>
        <v>00683245</v>
      </c>
    </row>
    <row r="10106" spans="1:2" x14ac:dyDescent="0.25">
      <c r="A10106" s="4">
        <v>10101</v>
      </c>
      <c r="B10106" s="3" t="str">
        <f>"00683248"</f>
        <v>00683248</v>
      </c>
    </row>
    <row r="10107" spans="1:2" x14ac:dyDescent="0.25">
      <c r="A10107" s="4">
        <v>10102</v>
      </c>
      <c r="B10107" s="3" t="str">
        <f>"00683250"</f>
        <v>00683250</v>
      </c>
    </row>
    <row r="10108" spans="1:2" x14ac:dyDescent="0.25">
      <c r="A10108" s="4">
        <v>10103</v>
      </c>
      <c r="B10108" s="3" t="str">
        <f>"00683268"</f>
        <v>00683268</v>
      </c>
    </row>
    <row r="10109" spans="1:2" x14ac:dyDescent="0.25">
      <c r="A10109" s="4">
        <v>10104</v>
      </c>
      <c r="B10109" s="3" t="str">
        <f>"00683273"</f>
        <v>00683273</v>
      </c>
    </row>
    <row r="10110" spans="1:2" x14ac:dyDescent="0.25">
      <c r="A10110" s="4">
        <v>10105</v>
      </c>
      <c r="B10110" s="3" t="str">
        <f>"00683276"</f>
        <v>00683276</v>
      </c>
    </row>
    <row r="10111" spans="1:2" x14ac:dyDescent="0.25">
      <c r="A10111" s="4">
        <v>10106</v>
      </c>
      <c r="B10111" s="3" t="str">
        <f>"00683283"</f>
        <v>00683283</v>
      </c>
    </row>
    <row r="10112" spans="1:2" x14ac:dyDescent="0.25">
      <c r="A10112" s="4">
        <v>10107</v>
      </c>
      <c r="B10112" s="3" t="str">
        <f>"00683294"</f>
        <v>00683294</v>
      </c>
    </row>
    <row r="10113" spans="1:2" x14ac:dyDescent="0.25">
      <c r="A10113" s="4">
        <v>10108</v>
      </c>
      <c r="B10113" s="3" t="str">
        <f>"00683326"</f>
        <v>00683326</v>
      </c>
    </row>
    <row r="10114" spans="1:2" x14ac:dyDescent="0.25">
      <c r="A10114" s="4">
        <v>10109</v>
      </c>
      <c r="B10114" s="3" t="str">
        <f>"00683356"</f>
        <v>00683356</v>
      </c>
    </row>
    <row r="10115" spans="1:2" x14ac:dyDescent="0.25">
      <c r="A10115" s="4">
        <v>10110</v>
      </c>
      <c r="B10115" s="3" t="str">
        <f>"00683381"</f>
        <v>00683381</v>
      </c>
    </row>
    <row r="10116" spans="1:2" x14ac:dyDescent="0.25">
      <c r="A10116" s="4">
        <v>10111</v>
      </c>
      <c r="B10116" s="3" t="str">
        <f>"00683385"</f>
        <v>00683385</v>
      </c>
    </row>
    <row r="10117" spans="1:2" x14ac:dyDescent="0.25">
      <c r="A10117" s="4">
        <v>10112</v>
      </c>
      <c r="B10117" s="3" t="str">
        <f>"00683401"</f>
        <v>00683401</v>
      </c>
    </row>
    <row r="10118" spans="1:2" x14ac:dyDescent="0.25">
      <c r="A10118" s="4">
        <v>10113</v>
      </c>
      <c r="B10118" s="3" t="str">
        <f>"00683420"</f>
        <v>00683420</v>
      </c>
    </row>
    <row r="10119" spans="1:2" x14ac:dyDescent="0.25">
      <c r="A10119" s="4">
        <v>10114</v>
      </c>
      <c r="B10119" s="3" t="str">
        <f>"00683429"</f>
        <v>00683429</v>
      </c>
    </row>
    <row r="10120" spans="1:2" x14ac:dyDescent="0.25">
      <c r="A10120" s="4">
        <v>10115</v>
      </c>
      <c r="B10120" s="3" t="str">
        <f>"00683431"</f>
        <v>00683431</v>
      </c>
    </row>
    <row r="10121" spans="1:2" x14ac:dyDescent="0.25">
      <c r="A10121" s="4">
        <v>10116</v>
      </c>
      <c r="B10121" s="3" t="str">
        <f>"00683432"</f>
        <v>00683432</v>
      </c>
    </row>
    <row r="10122" spans="1:2" x14ac:dyDescent="0.25">
      <c r="A10122" s="4">
        <v>10117</v>
      </c>
      <c r="B10122" s="3" t="str">
        <f>"00683459"</f>
        <v>00683459</v>
      </c>
    </row>
    <row r="10123" spans="1:2" x14ac:dyDescent="0.25">
      <c r="A10123" s="4">
        <v>10118</v>
      </c>
      <c r="B10123" s="3" t="str">
        <f>"00683475"</f>
        <v>00683475</v>
      </c>
    </row>
    <row r="10124" spans="1:2" x14ac:dyDescent="0.25">
      <c r="A10124" s="4">
        <v>10119</v>
      </c>
      <c r="B10124" s="3" t="str">
        <f>"00683510"</f>
        <v>00683510</v>
      </c>
    </row>
    <row r="10125" spans="1:2" x14ac:dyDescent="0.25">
      <c r="A10125" s="4">
        <v>10120</v>
      </c>
      <c r="B10125" s="3" t="str">
        <f>"00683515"</f>
        <v>00683515</v>
      </c>
    </row>
    <row r="10126" spans="1:2" x14ac:dyDescent="0.25">
      <c r="A10126" s="4">
        <v>10121</v>
      </c>
      <c r="B10126" s="3" t="str">
        <f>"00683516"</f>
        <v>00683516</v>
      </c>
    </row>
    <row r="10127" spans="1:2" x14ac:dyDescent="0.25">
      <c r="A10127" s="4">
        <v>10122</v>
      </c>
      <c r="B10127" s="3" t="str">
        <f>"00683527"</f>
        <v>00683527</v>
      </c>
    </row>
    <row r="10128" spans="1:2" x14ac:dyDescent="0.25">
      <c r="A10128" s="4">
        <v>10123</v>
      </c>
      <c r="B10128" s="3" t="str">
        <f>"00683535"</f>
        <v>00683535</v>
      </c>
    </row>
    <row r="10129" spans="1:2" x14ac:dyDescent="0.25">
      <c r="A10129" s="4">
        <v>10124</v>
      </c>
      <c r="B10129" s="3" t="str">
        <f>"00683539"</f>
        <v>00683539</v>
      </c>
    </row>
    <row r="10130" spans="1:2" x14ac:dyDescent="0.25">
      <c r="A10130" s="4">
        <v>10125</v>
      </c>
      <c r="B10130" s="3" t="str">
        <f>"00683545"</f>
        <v>00683545</v>
      </c>
    </row>
    <row r="10131" spans="1:2" x14ac:dyDescent="0.25">
      <c r="A10131" s="4">
        <v>10126</v>
      </c>
      <c r="B10131" s="3" t="str">
        <f>"00683561"</f>
        <v>00683561</v>
      </c>
    </row>
    <row r="10132" spans="1:2" x14ac:dyDescent="0.25">
      <c r="A10132" s="4">
        <v>10127</v>
      </c>
      <c r="B10132" s="3" t="str">
        <f>"00683570"</f>
        <v>00683570</v>
      </c>
    </row>
    <row r="10133" spans="1:2" x14ac:dyDescent="0.25">
      <c r="A10133" s="4">
        <v>10128</v>
      </c>
      <c r="B10133" s="3" t="str">
        <f>"00683573"</f>
        <v>00683573</v>
      </c>
    </row>
    <row r="10134" spans="1:2" x14ac:dyDescent="0.25">
      <c r="A10134" s="4">
        <v>10129</v>
      </c>
      <c r="B10134" s="3" t="str">
        <f>"00683625"</f>
        <v>00683625</v>
      </c>
    </row>
    <row r="10135" spans="1:2" x14ac:dyDescent="0.25">
      <c r="A10135" s="4">
        <v>10130</v>
      </c>
      <c r="B10135" s="3" t="str">
        <f>"00683627"</f>
        <v>00683627</v>
      </c>
    </row>
    <row r="10136" spans="1:2" x14ac:dyDescent="0.25">
      <c r="A10136" s="4">
        <v>10131</v>
      </c>
      <c r="B10136" s="3" t="str">
        <f>"00683633"</f>
        <v>00683633</v>
      </c>
    </row>
    <row r="10137" spans="1:2" x14ac:dyDescent="0.25">
      <c r="A10137" s="4">
        <v>10132</v>
      </c>
      <c r="B10137" s="3" t="str">
        <f>"00683644"</f>
        <v>00683644</v>
      </c>
    </row>
    <row r="10138" spans="1:2" x14ac:dyDescent="0.25">
      <c r="A10138" s="4">
        <v>10133</v>
      </c>
      <c r="B10138" s="3" t="str">
        <f>"00683664"</f>
        <v>00683664</v>
      </c>
    </row>
    <row r="10139" spans="1:2" x14ac:dyDescent="0.25">
      <c r="A10139" s="4">
        <v>10134</v>
      </c>
      <c r="B10139" s="3" t="str">
        <f>"00683711"</f>
        <v>00683711</v>
      </c>
    </row>
    <row r="10140" spans="1:2" x14ac:dyDescent="0.25">
      <c r="A10140" s="4">
        <v>10135</v>
      </c>
      <c r="B10140" s="3" t="str">
        <f>"00683736"</f>
        <v>00683736</v>
      </c>
    </row>
    <row r="10141" spans="1:2" x14ac:dyDescent="0.25">
      <c r="A10141" s="4">
        <v>10136</v>
      </c>
      <c r="B10141" s="3" t="str">
        <f>"00683746"</f>
        <v>00683746</v>
      </c>
    </row>
    <row r="10142" spans="1:2" x14ac:dyDescent="0.25">
      <c r="A10142" s="4">
        <v>10137</v>
      </c>
      <c r="B10142" s="3" t="str">
        <f>"00683766"</f>
        <v>00683766</v>
      </c>
    </row>
    <row r="10143" spans="1:2" x14ac:dyDescent="0.25">
      <c r="A10143" s="4">
        <v>10138</v>
      </c>
      <c r="B10143" s="3" t="str">
        <f>"00683775"</f>
        <v>00683775</v>
      </c>
    </row>
    <row r="10144" spans="1:2" x14ac:dyDescent="0.25">
      <c r="A10144" s="4">
        <v>10139</v>
      </c>
      <c r="B10144" s="3" t="str">
        <f>"00683854"</f>
        <v>00683854</v>
      </c>
    </row>
    <row r="10145" spans="1:2" x14ac:dyDescent="0.25">
      <c r="A10145" s="4">
        <v>10140</v>
      </c>
      <c r="B10145" s="3" t="str">
        <f>"00683882"</f>
        <v>00683882</v>
      </c>
    </row>
    <row r="10146" spans="1:2" x14ac:dyDescent="0.25">
      <c r="A10146" s="4">
        <v>10141</v>
      </c>
      <c r="B10146" s="3" t="str">
        <f>"00683888"</f>
        <v>00683888</v>
      </c>
    </row>
    <row r="10147" spans="1:2" x14ac:dyDescent="0.25">
      <c r="A10147" s="4">
        <v>10142</v>
      </c>
      <c r="B10147" s="3" t="str">
        <f>"00683899"</f>
        <v>00683899</v>
      </c>
    </row>
    <row r="10148" spans="1:2" x14ac:dyDescent="0.25">
      <c r="A10148" s="4">
        <v>10143</v>
      </c>
      <c r="B10148" s="3" t="str">
        <f>"00683903"</f>
        <v>00683903</v>
      </c>
    </row>
    <row r="10149" spans="1:2" x14ac:dyDescent="0.25">
      <c r="A10149" s="4">
        <v>10144</v>
      </c>
      <c r="B10149" s="3" t="str">
        <f>"00683906"</f>
        <v>00683906</v>
      </c>
    </row>
    <row r="10150" spans="1:2" x14ac:dyDescent="0.25">
      <c r="A10150" s="4">
        <v>10145</v>
      </c>
      <c r="B10150" s="3" t="str">
        <f>"00683913"</f>
        <v>00683913</v>
      </c>
    </row>
    <row r="10151" spans="1:2" x14ac:dyDescent="0.25">
      <c r="A10151" s="4">
        <v>10146</v>
      </c>
      <c r="B10151" s="3" t="str">
        <f>"00683923"</f>
        <v>00683923</v>
      </c>
    </row>
    <row r="10152" spans="1:2" x14ac:dyDescent="0.25">
      <c r="A10152" s="4">
        <v>10147</v>
      </c>
      <c r="B10152" s="3" t="str">
        <f>"00683926"</f>
        <v>00683926</v>
      </c>
    </row>
    <row r="10153" spans="1:2" x14ac:dyDescent="0.25">
      <c r="A10153" s="4">
        <v>10148</v>
      </c>
      <c r="B10153" s="3" t="str">
        <f>"00683929"</f>
        <v>00683929</v>
      </c>
    </row>
    <row r="10154" spans="1:2" x14ac:dyDescent="0.25">
      <c r="A10154" s="4">
        <v>10149</v>
      </c>
      <c r="B10154" s="3" t="str">
        <f>"00683957"</f>
        <v>00683957</v>
      </c>
    </row>
    <row r="10155" spans="1:2" x14ac:dyDescent="0.25">
      <c r="A10155" s="4">
        <v>10150</v>
      </c>
      <c r="B10155" s="3" t="str">
        <f>"00683960"</f>
        <v>00683960</v>
      </c>
    </row>
    <row r="10156" spans="1:2" x14ac:dyDescent="0.25">
      <c r="A10156" s="4">
        <v>10151</v>
      </c>
      <c r="B10156" s="3" t="str">
        <f>"00683969"</f>
        <v>00683969</v>
      </c>
    </row>
    <row r="10157" spans="1:2" x14ac:dyDescent="0.25">
      <c r="A10157" s="4">
        <v>10152</v>
      </c>
      <c r="B10157" s="3" t="str">
        <f>"00683970"</f>
        <v>00683970</v>
      </c>
    </row>
    <row r="10158" spans="1:2" x14ac:dyDescent="0.25">
      <c r="A10158" s="4">
        <v>10153</v>
      </c>
      <c r="B10158" s="3" t="str">
        <f>"00683971"</f>
        <v>00683971</v>
      </c>
    </row>
    <row r="10159" spans="1:2" x14ac:dyDescent="0.25">
      <c r="A10159" s="4">
        <v>10154</v>
      </c>
      <c r="B10159" s="3" t="str">
        <f>"00683998"</f>
        <v>00683998</v>
      </c>
    </row>
    <row r="10160" spans="1:2" x14ac:dyDescent="0.25">
      <c r="A10160" s="4">
        <v>10155</v>
      </c>
      <c r="B10160" s="3" t="str">
        <f>"00684022"</f>
        <v>00684022</v>
      </c>
    </row>
    <row r="10161" spans="1:2" x14ac:dyDescent="0.25">
      <c r="A10161" s="4">
        <v>10156</v>
      </c>
      <c r="B10161" s="3" t="str">
        <f>"00684034"</f>
        <v>00684034</v>
      </c>
    </row>
    <row r="10162" spans="1:2" x14ac:dyDescent="0.25">
      <c r="A10162" s="4">
        <v>10157</v>
      </c>
      <c r="B10162" s="3" t="str">
        <f>"00684039"</f>
        <v>00684039</v>
      </c>
    </row>
    <row r="10163" spans="1:2" x14ac:dyDescent="0.25">
      <c r="A10163" s="4">
        <v>10158</v>
      </c>
      <c r="B10163" s="3" t="str">
        <f>"00684054"</f>
        <v>00684054</v>
      </c>
    </row>
    <row r="10164" spans="1:2" x14ac:dyDescent="0.25">
      <c r="A10164" s="4">
        <v>10159</v>
      </c>
      <c r="B10164" s="3" t="str">
        <f>"00684065"</f>
        <v>00684065</v>
      </c>
    </row>
    <row r="10165" spans="1:2" x14ac:dyDescent="0.25">
      <c r="A10165" s="4">
        <v>10160</v>
      </c>
      <c r="B10165" s="3" t="str">
        <f>"00684082"</f>
        <v>00684082</v>
      </c>
    </row>
    <row r="10166" spans="1:2" x14ac:dyDescent="0.25">
      <c r="A10166" s="4">
        <v>10161</v>
      </c>
      <c r="B10166" s="3" t="str">
        <f>"00684110"</f>
        <v>00684110</v>
      </c>
    </row>
    <row r="10167" spans="1:2" x14ac:dyDescent="0.25">
      <c r="A10167" s="4">
        <v>10162</v>
      </c>
      <c r="B10167" s="3" t="str">
        <f>"00684112"</f>
        <v>00684112</v>
      </c>
    </row>
    <row r="10168" spans="1:2" x14ac:dyDescent="0.25">
      <c r="A10168" s="4">
        <v>10163</v>
      </c>
      <c r="B10168" s="3" t="str">
        <f>"00684118"</f>
        <v>00684118</v>
      </c>
    </row>
    <row r="10169" spans="1:2" x14ac:dyDescent="0.25">
      <c r="A10169" s="4">
        <v>10164</v>
      </c>
      <c r="B10169" s="3" t="str">
        <f>"00684126"</f>
        <v>00684126</v>
      </c>
    </row>
    <row r="10170" spans="1:2" x14ac:dyDescent="0.25">
      <c r="A10170" s="4">
        <v>10165</v>
      </c>
      <c r="B10170" s="3" t="str">
        <f>"00684150"</f>
        <v>00684150</v>
      </c>
    </row>
    <row r="10171" spans="1:2" x14ac:dyDescent="0.25">
      <c r="A10171" s="4">
        <v>10166</v>
      </c>
      <c r="B10171" s="3" t="str">
        <f>"00684158"</f>
        <v>00684158</v>
      </c>
    </row>
    <row r="10172" spans="1:2" x14ac:dyDescent="0.25">
      <c r="A10172" s="4">
        <v>10167</v>
      </c>
      <c r="B10172" s="3" t="str">
        <f>"00684172"</f>
        <v>00684172</v>
      </c>
    </row>
    <row r="10173" spans="1:2" x14ac:dyDescent="0.25">
      <c r="A10173" s="4">
        <v>10168</v>
      </c>
      <c r="B10173" s="3" t="str">
        <f>"00684194"</f>
        <v>00684194</v>
      </c>
    </row>
    <row r="10174" spans="1:2" x14ac:dyDescent="0.25">
      <c r="A10174" s="4">
        <v>10169</v>
      </c>
      <c r="B10174" s="3" t="str">
        <f>"00684196"</f>
        <v>00684196</v>
      </c>
    </row>
    <row r="10175" spans="1:2" x14ac:dyDescent="0.25">
      <c r="A10175" s="4">
        <v>10170</v>
      </c>
      <c r="B10175" s="3" t="str">
        <f>"00684198"</f>
        <v>00684198</v>
      </c>
    </row>
    <row r="10176" spans="1:2" x14ac:dyDescent="0.25">
      <c r="A10176" s="4">
        <v>10171</v>
      </c>
      <c r="B10176" s="3" t="str">
        <f>"00684202"</f>
        <v>00684202</v>
      </c>
    </row>
    <row r="10177" spans="1:2" x14ac:dyDescent="0.25">
      <c r="A10177" s="4">
        <v>10172</v>
      </c>
      <c r="B10177" s="3" t="str">
        <f>"00684215"</f>
        <v>00684215</v>
      </c>
    </row>
    <row r="10178" spans="1:2" x14ac:dyDescent="0.25">
      <c r="A10178" s="4">
        <v>10173</v>
      </c>
      <c r="B10178" s="3" t="str">
        <f>"00684220"</f>
        <v>00684220</v>
      </c>
    </row>
    <row r="10179" spans="1:2" x14ac:dyDescent="0.25">
      <c r="A10179" s="4">
        <v>10174</v>
      </c>
      <c r="B10179" s="3" t="str">
        <f>"00684243"</f>
        <v>00684243</v>
      </c>
    </row>
    <row r="10180" spans="1:2" x14ac:dyDescent="0.25">
      <c r="A10180" s="4">
        <v>10175</v>
      </c>
      <c r="B10180" s="3" t="str">
        <f>"00684270"</f>
        <v>00684270</v>
      </c>
    </row>
    <row r="10181" spans="1:2" x14ac:dyDescent="0.25">
      <c r="A10181" s="4">
        <v>10176</v>
      </c>
      <c r="B10181" s="3" t="str">
        <f>"00684271"</f>
        <v>00684271</v>
      </c>
    </row>
    <row r="10182" spans="1:2" x14ac:dyDescent="0.25">
      <c r="A10182" s="4">
        <v>10177</v>
      </c>
      <c r="B10182" s="3" t="str">
        <f>"00684276"</f>
        <v>00684276</v>
      </c>
    </row>
    <row r="10183" spans="1:2" x14ac:dyDescent="0.25">
      <c r="A10183" s="4">
        <v>10178</v>
      </c>
      <c r="B10183" s="3" t="str">
        <f>"00684285"</f>
        <v>00684285</v>
      </c>
    </row>
    <row r="10184" spans="1:2" x14ac:dyDescent="0.25">
      <c r="A10184" s="4">
        <v>10179</v>
      </c>
      <c r="B10184" s="3" t="str">
        <f>"00684305"</f>
        <v>00684305</v>
      </c>
    </row>
    <row r="10185" spans="1:2" x14ac:dyDescent="0.25">
      <c r="A10185" s="4">
        <v>10180</v>
      </c>
      <c r="B10185" s="3" t="str">
        <f>"00684348"</f>
        <v>00684348</v>
      </c>
    </row>
    <row r="10186" spans="1:2" x14ac:dyDescent="0.25">
      <c r="A10186" s="4">
        <v>10181</v>
      </c>
      <c r="B10186" s="3" t="str">
        <f>"00684350"</f>
        <v>00684350</v>
      </c>
    </row>
    <row r="10187" spans="1:2" x14ac:dyDescent="0.25">
      <c r="A10187" s="4">
        <v>10182</v>
      </c>
      <c r="B10187" s="3" t="str">
        <f>"00684351"</f>
        <v>00684351</v>
      </c>
    </row>
    <row r="10188" spans="1:2" x14ac:dyDescent="0.25">
      <c r="A10188" s="4">
        <v>10183</v>
      </c>
      <c r="B10188" s="3" t="str">
        <f>"00684354"</f>
        <v>00684354</v>
      </c>
    </row>
    <row r="10189" spans="1:2" x14ac:dyDescent="0.25">
      <c r="A10189" s="4">
        <v>10184</v>
      </c>
      <c r="B10189" s="3" t="str">
        <f>"00684388"</f>
        <v>00684388</v>
      </c>
    </row>
    <row r="10190" spans="1:2" x14ac:dyDescent="0.25">
      <c r="A10190" s="4">
        <v>10185</v>
      </c>
      <c r="B10190" s="3" t="str">
        <f>"00684411"</f>
        <v>00684411</v>
      </c>
    </row>
    <row r="10191" spans="1:2" x14ac:dyDescent="0.25">
      <c r="A10191" s="4">
        <v>10186</v>
      </c>
      <c r="B10191" s="3" t="str">
        <f>"00684414"</f>
        <v>00684414</v>
      </c>
    </row>
    <row r="10192" spans="1:2" x14ac:dyDescent="0.25">
      <c r="A10192" s="4">
        <v>10187</v>
      </c>
      <c r="B10192" s="3" t="str">
        <f>"00684415"</f>
        <v>00684415</v>
      </c>
    </row>
    <row r="10193" spans="1:2" x14ac:dyDescent="0.25">
      <c r="A10193" s="4">
        <v>10188</v>
      </c>
      <c r="B10193" s="3" t="str">
        <f>"00684424"</f>
        <v>00684424</v>
      </c>
    </row>
    <row r="10194" spans="1:2" x14ac:dyDescent="0.25">
      <c r="A10194" s="4">
        <v>10189</v>
      </c>
      <c r="B10194" s="3" t="str">
        <f>"00684425"</f>
        <v>00684425</v>
      </c>
    </row>
    <row r="10195" spans="1:2" x14ac:dyDescent="0.25">
      <c r="A10195" s="4">
        <v>10190</v>
      </c>
      <c r="B10195" s="3" t="str">
        <f>"00684450"</f>
        <v>00684450</v>
      </c>
    </row>
    <row r="10196" spans="1:2" x14ac:dyDescent="0.25">
      <c r="A10196" s="4">
        <v>10191</v>
      </c>
      <c r="B10196" s="3" t="str">
        <f>"00684454"</f>
        <v>00684454</v>
      </c>
    </row>
    <row r="10197" spans="1:2" x14ac:dyDescent="0.25">
      <c r="A10197" s="4">
        <v>10192</v>
      </c>
      <c r="B10197" s="3" t="str">
        <f>"00684463"</f>
        <v>00684463</v>
      </c>
    </row>
    <row r="10198" spans="1:2" x14ac:dyDescent="0.25">
      <c r="A10198" s="4">
        <v>10193</v>
      </c>
      <c r="B10198" s="3" t="str">
        <f>"00684468"</f>
        <v>00684468</v>
      </c>
    </row>
    <row r="10199" spans="1:2" x14ac:dyDescent="0.25">
      <c r="A10199" s="4">
        <v>10194</v>
      </c>
      <c r="B10199" s="3" t="str">
        <f>"00684470"</f>
        <v>00684470</v>
      </c>
    </row>
    <row r="10200" spans="1:2" x14ac:dyDescent="0.25">
      <c r="A10200" s="4">
        <v>10195</v>
      </c>
      <c r="B10200" s="3" t="str">
        <f>"00684473"</f>
        <v>00684473</v>
      </c>
    </row>
    <row r="10201" spans="1:2" x14ac:dyDescent="0.25">
      <c r="A10201" s="4">
        <v>10196</v>
      </c>
      <c r="B10201" s="3" t="str">
        <f>"00684499"</f>
        <v>00684499</v>
      </c>
    </row>
    <row r="10202" spans="1:2" x14ac:dyDescent="0.25">
      <c r="A10202" s="4">
        <v>10197</v>
      </c>
      <c r="B10202" s="3" t="str">
        <f>"00684520"</f>
        <v>00684520</v>
      </c>
    </row>
    <row r="10203" spans="1:2" x14ac:dyDescent="0.25">
      <c r="A10203" s="4">
        <v>10198</v>
      </c>
      <c r="B10203" s="3" t="str">
        <f>"00684536"</f>
        <v>00684536</v>
      </c>
    </row>
    <row r="10204" spans="1:2" x14ac:dyDescent="0.25">
      <c r="A10204" s="4">
        <v>10199</v>
      </c>
      <c r="B10204" s="3" t="str">
        <f>"00684544"</f>
        <v>00684544</v>
      </c>
    </row>
    <row r="10205" spans="1:2" x14ac:dyDescent="0.25">
      <c r="A10205" s="4">
        <v>10200</v>
      </c>
      <c r="B10205" s="3" t="str">
        <f>"00684555"</f>
        <v>00684555</v>
      </c>
    </row>
    <row r="10206" spans="1:2" x14ac:dyDescent="0.25">
      <c r="A10206" s="4">
        <v>10201</v>
      </c>
      <c r="B10206" s="3" t="str">
        <f>"00684580"</f>
        <v>00684580</v>
      </c>
    </row>
    <row r="10207" spans="1:2" x14ac:dyDescent="0.25">
      <c r="A10207" s="4">
        <v>10202</v>
      </c>
      <c r="B10207" s="3" t="str">
        <f>"00684587"</f>
        <v>00684587</v>
      </c>
    </row>
    <row r="10208" spans="1:2" x14ac:dyDescent="0.25">
      <c r="A10208" s="4">
        <v>10203</v>
      </c>
      <c r="B10208" s="3" t="str">
        <f>"00684592"</f>
        <v>00684592</v>
      </c>
    </row>
    <row r="10209" spans="1:2" x14ac:dyDescent="0.25">
      <c r="A10209" s="4">
        <v>10204</v>
      </c>
      <c r="B10209" s="3" t="str">
        <f>"00684597"</f>
        <v>00684597</v>
      </c>
    </row>
    <row r="10210" spans="1:2" x14ac:dyDescent="0.25">
      <c r="A10210" s="4">
        <v>10205</v>
      </c>
      <c r="B10210" s="3" t="str">
        <f>"00684621"</f>
        <v>00684621</v>
      </c>
    </row>
    <row r="10211" spans="1:2" x14ac:dyDescent="0.25">
      <c r="A10211" s="4">
        <v>10206</v>
      </c>
      <c r="B10211" s="3" t="str">
        <f>"00684636"</f>
        <v>00684636</v>
      </c>
    </row>
    <row r="10212" spans="1:2" x14ac:dyDescent="0.25">
      <c r="A10212" s="4">
        <v>10207</v>
      </c>
      <c r="B10212" s="3" t="str">
        <f>"00684646"</f>
        <v>00684646</v>
      </c>
    </row>
    <row r="10213" spans="1:2" x14ac:dyDescent="0.25">
      <c r="A10213" s="4">
        <v>10208</v>
      </c>
      <c r="B10213" s="3" t="str">
        <f>"00684659"</f>
        <v>00684659</v>
      </c>
    </row>
    <row r="10214" spans="1:2" x14ac:dyDescent="0.25">
      <c r="A10214" s="4">
        <v>10209</v>
      </c>
      <c r="B10214" s="3" t="str">
        <f>"00684671"</f>
        <v>00684671</v>
      </c>
    </row>
    <row r="10215" spans="1:2" x14ac:dyDescent="0.25">
      <c r="A10215" s="4">
        <v>10210</v>
      </c>
      <c r="B10215" s="3" t="str">
        <f>"00684688"</f>
        <v>00684688</v>
      </c>
    </row>
    <row r="10216" spans="1:2" x14ac:dyDescent="0.25">
      <c r="A10216" s="4">
        <v>10211</v>
      </c>
      <c r="B10216" s="3" t="str">
        <f>"00684689"</f>
        <v>00684689</v>
      </c>
    </row>
    <row r="10217" spans="1:2" x14ac:dyDescent="0.25">
      <c r="A10217" s="4">
        <v>10212</v>
      </c>
      <c r="B10217" s="3" t="str">
        <f>"00684690"</f>
        <v>00684690</v>
      </c>
    </row>
    <row r="10218" spans="1:2" x14ac:dyDescent="0.25">
      <c r="A10218" s="4">
        <v>10213</v>
      </c>
      <c r="B10218" s="3" t="str">
        <f>"00684694"</f>
        <v>00684694</v>
      </c>
    </row>
    <row r="10219" spans="1:2" x14ac:dyDescent="0.25">
      <c r="A10219" s="4">
        <v>10214</v>
      </c>
      <c r="B10219" s="3" t="str">
        <f>"00684695"</f>
        <v>00684695</v>
      </c>
    </row>
    <row r="10220" spans="1:2" x14ac:dyDescent="0.25">
      <c r="A10220" s="4">
        <v>10215</v>
      </c>
      <c r="B10220" s="3" t="str">
        <f>"00684706"</f>
        <v>00684706</v>
      </c>
    </row>
    <row r="10221" spans="1:2" x14ac:dyDescent="0.25">
      <c r="A10221" s="4">
        <v>10216</v>
      </c>
      <c r="B10221" s="3" t="str">
        <f>"00684720"</f>
        <v>00684720</v>
      </c>
    </row>
    <row r="10222" spans="1:2" x14ac:dyDescent="0.25">
      <c r="A10222" s="4">
        <v>10217</v>
      </c>
      <c r="B10222" s="3" t="str">
        <f>"00684726"</f>
        <v>00684726</v>
      </c>
    </row>
    <row r="10223" spans="1:2" x14ac:dyDescent="0.25">
      <c r="A10223" s="4">
        <v>10218</v>
      </c>
      <c r="B10223" s="3" t="str">
        <f>"00684732"</f>
        <v>00684732</v>
      </c>
    </row>
    <row r="10224" spans="1:2" x14ac:dyDescent="0.25">
      <c r="A10224" s="4">
        <v>10219</v>
      </c>
      <c r="B10224" s="3" t="str">
        <f>"00684743"</f>
        <v>00684743</v>
      </c>
    </row>
    <row r="10225" spans="1:2" x14ac:dyDescent="0.25">
      <c r="A10225" s="4">
        <v>10220</v>
      </c>
      <c r="B10225" s="3" t="str">
        <f>"00684751"</f>
        <v>00684751</v>
      </c>
    </row>
    <row r="10226" spans="1:2" x14ac:dyDescent="0.25">
      <c r="A10226" s="4">
        <v>10221</v>
      </c>
      <c r="B10226" s="3" t="str">
        <f>"00684754"</f>
        <v>00684754</v>
      </c>
    </row>
    <row r="10227" spans="1:2" x14ac:dyDescent="0.25">
      <c r="A10227" s="4">
        <v>10222</v>
      </c>
      <c r="B10227" s="3" t="str">
        <f>"00684758"</f>
        <v>00684758</v>
      </c>
    </row>
    <row r="10228" spans="1:2" x14ac:dyDescent="0.25">
      <c r="A10228" s="4">
        <v>10223</v>
      </c>
      <c r="B10228" s="3" t="str">
        <f>"00684767"</f>
        <v>00684767</v>
      </c>
    </row>
    <row r="10229" spans="1:2" x14ac:dyDescent="0.25">
      <c r="A10229" s="4">
        <v>10224</v>
      </c>
      <c r="B10229" s="3" t="str">
        <f>"00684796"</f>
        <v>00684796</v>
      </c>
    </row>
    <row r="10230" spans="1:2" x14ac:dyDescent="0.25">
      <c r="A10230" s="4">
        <v>10225</v>
      </c>
      <c r="B10230" s="3" t="str">
        <f>"00684800"</f>
        <v>00684800</v>
      </c>
    </row>
    <row r="10231" spans="1:2" x14ac:dyDescent="0.25">
      <c r="A10231" s="4">
        <v>10226</v>
      </c>
      <c r="B10231" s="3" t="str">
        <f>"00684805"</f>
        <v>00684805</v>
      </c>
    </row>
    <row r="10232" spans="1:2" x14ac:dyDescent="0.25">
      <c r="A10232" s="4">
        <v>10227</v>
      </c>
      <c r="B10232" s="3" t="str">
        <f>"00684817"</f>
        <v>00684817</v>
      </c>
    </row>
    <row r="10233" spans="1:2" x14ac:dyDescent="0.25">
      <c r="A10233" s="4">
        <v>10228</v>
      </c>
      <c r="B10233" s="3" t="str">
        <f>"00684825"</f>
        <v>00684825</v>
      </c>
    </row>
    <row r="10234" spans="1:2" x14ac:dyDescent="0.25">
      <c r="A10234" s="4">
        <v>10229</v>
      </c>
      <c r="B10234" s="3" t="str">
        <f>"00684846"</f>
        <v>00684846</v>
      </c>
    </row>
    <row r="10235" spans="1:2" x14ac:dyDescent="0.25">
      <c r="A10235" s="4">
        <v>10230</v>
      </c>
      <c r="B10235" s="3" t="str">
        <f>"00684850"</f>
        <v>00684850</v>
      </c>
    </row>
    <row r="10236" spans="1:2" x14ac:dyDescent="0.25">
      <c r="A10236" s="4">
        <v>10231</v>
      </c>
      <c r="B10236" s="3" t="str">
        <f>"00684853"</f>
        <v>00684853</v>
      </c>
    </row>
    <row r="10237" spans="1:2" x14ac:dyDescent="0.25">
      <c r="A10237" s="4">
        <v>10232</v>
      </c>
      <c r="B10237" s="3" t="str">
        <f>"00684855"</f>
        <v>00684855</v>
      </c>
    </row>
    <row r="10238" spans="1:2" x14ac:dyDescent="0.25">
      <c r="A10238" s="4">
        <v>10233</v>
      </c>
      <c r="B10238" s="3" t="str">
        <f>"00684860"</f>
        <v>00684860</v>
      </c>
    </row>
    <row r="10239" spans="1:2" x14ac:dyDescent="0.25">
      <c r="A10239" s="4">
        <v>10234</v>
      </c>
      <c r="B10239" s="3" t="str">
        <f>"00684861"</f>
        <v>00684861</v>
      </c>
    </row>
    <row r="10240" spans="1:2" x14ac:dyDescent="0.25">
      <c r="A10240" s="4">
        <v>10235</v>
      </c>
      <c r="B10240" s="3" t="str">
        <f>"00684863"</f>
        <v>00684863</v>
      </c>
    </row>
    <row r="10241" spans="1:2" x14ac:dyDescent="0.25">
      <c r="A10241" s="4">
        <v>10236</v>
      </c>
      <c r="B10241" s="3" t="str">
        <f>"00684866"</f>
        <v>00684866</v>
      </c>
    </row>
    <row r="10242" spans="1:2" x14ac:dyDescent="0.25">
      <c r="A10242" s="4">
        <v>10237</v>
      </c>
      <c r="B10242" s="3" t="str">
        <f>"00684867"</f>
        <v>00684867</v>
      </c>
    </row>
    <row r="10243" spans="1:2" x14ac:dyDescent="0.25">
      <c r="A10243" s="4">
        <v>10238</v>
      </c>
      <c r="B10243" s="3" t="str">
        <f>"00684876"</f>
        <v>00684876</v>
      </c>
    </row>
    <row r="10244" spans="1:2" x14ac:dyDescent="0.25">
      <c r="A10244" s="4">
        <v>10239</v>
      </c>
      <c r="B10244" s="3" t="str">
        <f>"00684880"</f>
        <v>00684880</v>
      </c>
    </row>
    <row r="10245" spans="1:2" x14ac:dyDescent="0.25">
      <c r="A10245" s="4">
        <v>10240</v>
      </c>
      <c r="B10245" s="3" t="str">
        <f>"00684902"</f>
        <v>00684902</v>
      </c>
    </row>
    <row r="10246" spans="1:2" x14ac:dyDescent="0.25">
      <c r="A10246" s="4">
        <v>10241</v>
      </c>
      <c r="B10246" s="3" t="str">
        <f>"00684940"</f>
        <v>00684940</v>
      </c>
    </row>
    <row r="10247" spans="1:2" x14ac:dyDescent="0.25">
      <c r="A10247" s="4">
        <v>10242</v>
      </c>
      <c r="B10247" s="3" t="str">
        <f>"00684942"</f>
        <v>00684942</v>
      </c>
    </row>
    <row r="10248" spans="1:2" x14ac:dyDescent="0.25">
      <c r="A10248" s="4">
        <v>10243</v>
      </c>
      <c r="B10248" s="3" t="str">
        <f>"00684962"</f>
        <v>00684962</v>
      </c>
    </row>
    <row r="10249" spans="1:2" x14ac:dyDescent="0.25">
      <c r="A10249" s="4">
        <v>10244</v>
      </c>
      <c r="B10249" s="3" t="str">
        <f>"00684975"</f>
        <v>00684975</v>
      </c>
    </row>
    <row r="10250" spans="1:2" x14ac:dyDescent="0.25">
      <c r="A10250" s="4">
        <v>10245</v>
      </c>
      <c r="B10250" s="3" t="str">
        <f>"00685007"</f>
        <v>00685007</v>
      </c>
    </row>
    <row r="10251" spans="1:2" x14ac:dyDescent="0.25">
      <c r="A10251" s="4">
        <v>10246</v>
      </c>
      <c r="B10251" s="3" t="str">
        <f>"00685038"</f>
        <v>00685038</v>
      </c>
    </row>
    <row r="10252" spans="1:2" x14ac:dyDescent="0.25">
      <c r="A10252" s="4">
        <v>10247</v>
      </c>
      <c r="B10252" s="3" t="str">
        <f>"00685047"</f>
        <v>00685047</v>
      </c>
    </row>
    <row r="10253" spans="1:2" x14ac:dyDescent="0.25">
      <c r="A10253" s="4">
        <v>10248</v>
      </c>
      <c r="B10253" s="3" t="str">
        <f>"00685048"</f>
        <v>00685048</v>
      </c>
    </row>
    <row r="10254" spans="1:2" x14ac:dyDescent="0.25">
      <c r="A10254" s="4">
        <v>10249</v>
      </c>
      <c r="B10254" s="3" t="str">
        <f>"00685056"</f>
        <v>00685056</v>
      </c>
    </row>
    <row r="10255" spans="1:2" x14ac:dyDescent="0.25">
      <c r="A10255" s="4">
        <v>10250</v>
      </c>
      <c r="B10255" s="3" t="str">
        <f>"00685057"</f>
        <v>00685057</v>
      </c>
    </row>
    <row r="10256" spans="1:2" x14ac:dyDescent="0.25">
      <c r="A10256" s="4">
        <v>10251</v>
      </c>
      <c r="B10256" s="3" t="str">
        <f>"00685061"</f>
        <v>00685061</v>
      </c>
    </row>
    <row r="10257" spans="1:2" x14ac:dyDescent="0.25">
      <c r="A10257" s="4">
        <v>10252</v>
      </c>
      <c r="B10257" s="3" t="str">
        <f>"00685071"</f>
        <v>00685071</v>
      </c>
    </row>
    <row r="10258" spans="1:2" x14ac:dyDescent="0.25">
      <c r="A10258" s="4">
        <v>10253</v>
      </c>
      <c r="B10258" s="3" t="str">
        <f>"00685080"</f>
        <v>00685080</v>
      </c>
    </row>
    <row r="10259" spans="1:2" x14ac:dyDescent="0.25">
      <c r="A10259" s="4">
        <v>10254</v>
      </c>
      <c r="B10259" s="3" t="str">
        <f>"00685092"</f>
        <v>00685092</v>
      </c>
    </row>
    <row r="10260" spans="1:2" x14ac:dyDescent="0.25">
      <c r="A10260" s="4">
        <v>10255</v>
      </c>
      <c r="B10260" s="3" t="str">
        <f>"00685093"</f>
        <v>00685093</v>
      </c>
    </row>
    <row r="10261" spans="1:2" x14ac:dyDescent="0.25">
      <c r="A10261" s="4">
        <v>10256</v>
      </c>
      <c r="B10261" s="3" t="str">
        <f>"00685097"</f>
        <v>00685097</v>
      </c>
    </row>
    <row r="10262" spans="1:2" x14ac:dyDescent="0.25">
      <c r="A10262" s="4">
        <v>10257</v>
      </c>
      <c r="B10262" s="3" t="str">
        <f>"00685098"</f>
        <v>00685098</v>
      </c>
    </row>
    <row r="10263" spans="1:2" x14ac:dyDescent="0.25">
      <c r="A10263" s="4">
        <v>10258</v>
      </c>
      <c r="B10263" s="3" t="str">
        <f>"00685099"</f>
        <v>00685099</v>
      </c>
    </row>
    <row r="10264" spans="1:2" x14ac:dyDescent="0.25">
      <c r="A10264" s="4">
        <v>10259</v>
      </c>
      <c r="B10264" s="3" t="str">
        <f>"00685105"</f>
        <v>00685105</v>
      </c>
    </row>
    <row r="10265" spans="1:2" x14ac:dyDescent="0.25">
      <c r="A10265" s="4">
        <v>10260</v>
      </c>
      <c r="B10265" s="3" t="str">
        <f>"00685107"</f>
        <v>00685107</v>
      </c>
    </row>
    <row r="10266" spans="1:2" x14ac:dyDescent="0.25">
      <c r="A10266" s="4">
        <v>10261</v>
      </c>
      <c r="B10266" s="3" t="str">
        <f>"00685110"</f>
        <v>00685110</v>
      </c>
    </row>
    <row r="10267" spans="1:2" x14ac:dyDescent="0.25">
      <c r="A10267" s="4">
        <v>10262</v>
      </c>
      <c r="B10267" s="3" t="str">
        <f>"00685114"</f>
        <v>00685114</v>
      </c>
    </row>
    <row r="10268" spans="1:2" x14ac:dyDescent="0.25">
      <c r="A10268" s="4">
        <v>10263</v>
      </c>
      <c r="B10268" s="3" t="str">
        <f>"00685119"</f>
        <v>00685119</v>
      </c>
    </row>
    <row r="10269" spans="1:2" x14ac:dyDescent="0.25">
      <c r="A10269" s="4">
        <v>10264</v>
      </c>
      <c r="B10269" s="3" t="str">
        <f>"00685121"</f>
        <v>00685121</v>
      </c>
    </row>
    <row r="10270" spans="1:2" x14ac:dyDescent="0.25">
      <c r="A10270" s="4">
        <v>10265</v>
      </c>
      <c r="B10270" s="3" t="str">
        <f>"00685124"</f>
        <v>00685124</v>
      </c>
    </row>
    <row r="10271" spans="1:2" x14ac:dyDescent="0.25">
      <c r="A10271" s="4">
        <v>10266</v>
      </c>
      <c r="B10271" s="3" t="str">
        <f>"00685128"</f>
        <v>00685128</v>
      </c>
    </row>
    <row r="10272" spans="1:2" x14ac:dyDescent="0.25">
      <c r="A10272" s="4">
        <v>10267</v>
      </c>
      <c r="B10272" s="3" t="str">
        <f>"00685131"</f>
        <v>00685131</v>
      </c>
    </row>
    <row r="10273" spans="1:2" x14ac:dyDescent="0.25">
      <c r="A10273" s="4">
        <v>10268</v>
      </c>
      <c r="B10273" s="3" t="str">
        <f>"00685137"</f>
        <v>00685137</v>
      </c>
    </row>
    <row r="10274" spans="1:2" x14ac:dyDescent="0.25">
      <c r="A10274" s="4">
        <v>10269</v>
      </c>
      <c r="B10274" s="3" t="str">
        <f>"00685148"</f>
        <v>00685148</v>
      </c>
    </row>
    <row r="10275" spans="1:2" x14ac:dyDescent="0.25">
      <c r="A10275" s="4">
        <v>10270</v>
      </c>
      <c r="B10275" s="3" t="str">
        <f>"00685159"</f>
        <v>00685159</v>
      </c>
    </row>
    <row r="10276" spans="1:2" x14ac:dyDescent="0.25">
      <c r="A10276" s="4">
        <v>10271</v>
      </c>
      <c r="B10276" s="3" t="str">
        <f>"00685162"</f>
        <v>00685162</v>
      </c>
    </row>
    <row r="10277" spans="1:2" x14ac:dyDescent="0.25">
      <c r="A10277" s="4">
        <v>10272</v>
      </c>
      <c r="B10277" s="3" t="str">
        <f>"00685170"</f>
        <v>00685170</v>
      </c>
    </row>
    <row r="10278" spans="1:2" x14ac:dyDescent="0.25">
      <c r="A10278" s="4">
        <v>10273</v>
      </c>
      <c r="B10278" s="3" t="str">
        <f>"00685174"</f>
        <v>00685174</v>
      </c>
    </row>
    <row r="10279" spans="1:2" x14ac:dyDescent="0.25">
      <c r="A10279" s="4">
        <v>10274</v>
      </c>
      <c r="B10279" s="3" t="str">
        <f>"00685176"</f>
        <v>00685176</v>
      </c>
    </row>
    <row r="10280" spans="1:2" x14ac:dyDescent="0.25">
      <c r="A10280" s="4">
        <v>10275</v>
      </c>
      <c r="B10280" s="3" t="str">
        <f>"00685178"</f>
        <v>00685178</v>
      </c>
    </row>
    <row r="10281" spans="1:2" x14ac:dyDescent="0.25">
      <c r="A10281" s="4">
        <v>10276</v>
      </c>
      <c r="B10281" s="3" t="str">
        <f>"00685186"</f>
        <v>00685186</v>
      </c>
    </row>
    <row r="10282" spans="1:2" x14ac:dyDescent="0.25">
      <c r="A10282" s="4">
        <v>10277</v>
      </c>
      <c r="B10282" s="3" t="str">
        <f>"00685187"</f>
        <v>00685187</v>
      </c>
    </row>
    <row r="10283" spans="1:2" x14ac:dyDescent="0.25">
      <c r="A10283" s="4">
        <v>10278</v>
      </c>
      <c r="B10283" s="3" t="str">
        <f>"00685201"</f>
        <v>00685201</v>
      </c>
    </row>
    <row r="10284" spans="1:2" x14ac:dyDescent="0.25">
      <c r="A10284" s="4">
        <v>10279</v>
      </c>
      <c r="B10284" s="3" t="str">
        <f>"00685210"</f>
        <v>00685210</v>
      </c>
    </row>
    <row r="10285" spans="1:2" x14ac:dyDescent="0.25">
      <c r="A10285" s="4">
        <v>10280</v>
      </c>
      <c r="B10285" s="3" t="str">
        <f>"00685212"</f>
        <v>00685212</v>
      </c>
    </row>
    <row r="10286" spans="1:2" x14ac:dyDescent="0.25">
      <c r="A10286" s="4">
        <v>10281</v>
      </c>
      <c r="B10286" s="3" t="str">
        <f>"00685213"</f>
        <v>00685213</v>
      </c>
    </row>
    <row r="10287" spans="1:2" x14ac:dyDescent="0.25">
      <c r="A10287" s="4">
        <v>10282</v>
      </c>
      <c r="B10287" s="3" t="str">
        <f>"00685214"</f>
        <v>00685214</v>
      </c>
    </row>
    <row r="10288" spans="1:2" x14ac:dyDescent="0.25">
      <c r="A10288" s="4">
        <v>10283</v>
      </c>
      <c r="B10288" s="3" t="str">
        <f>"00685217"</f>
        <v>00685217</v>
      </c>
    </row>
    <row r="10289" spans="1:2" x14ac:dyDescent="0.25">
      <c r="A10289" s="4">
        <v>10284</v>
      </c>
      <c r="B10289" s="3" t="str">
        <f>"00685221"</f>
        <v>00685221</v>
      </c>
    </row>
    <row r="10290" spans="1:2" x14ac:dyDescent="0.25">
      <c r="A10290" s="4">
        <v>10285</v>
      </c>
      <c r="B10290" s="3" t="str">
        <f>"00685230"</f>
        <v>00685230</v>
      </c>
    </row>
    <row r="10291" spans="1:2" x14ac:dyDescent="0.25">
      <c r="A10291" s="4">
        <v>10286</v>
      </c>
      <c r="B10291" s="3" t="str">
        <f>"00685232"</f>
        <v>00685232</v>
      </c>
    </row>
    <row r="10292" spans="1:2" x14ac:dyDescent="0.25">
      <c r="A10292" s="4">
        <v>10287</v>
      </c>
      <c r="B10292" s="3" t="str">
        <f>"00685233"</f>
        <v>00685233</v>
      </c>
    </row>
    <row r="10293" spans="1:2" x14ac:dyDescent="0.25">
      <c r="A10293" s="4">
        <v>10288</v>
      </c>
      <c r="B10293" s="3" t="str">
        <f>"00685237"</f>
        <v>00685237</v>
      </c>
    </row>
    <row r="10294" spans="1:2" x14ac:dyDescent="0.25">
      <c r="A10294" s="4">
        <v>10289</v>
      </c>
      <c r="B10294" s="3" t="str">
        <f>"00685238"</f>
        <v>00685238</v>
      </c>
    </row>
    <row r="10295" spans="1:2" x14ac:dyDescent="0.25">
      <c r="A10295" s="4">
        <v>10290</v>
      </c>
      <c r="B10295" s="3" t="str">
        <f>"00685241"</f>
        <v>00685241</v>
      </c>
    </row>
    <row r="10296" spans="1:2" x14ac:dyDescent="0.25">
      <c r="A10296" s="4">
        <v>10291</v>
      </c>
      <c r="B10296" s="3" t="str">
        <f>"00685253"</f>
        <v>00685253</v>
      </c>
    </row>
    <row r="10297" spans="1:2" x14ac:dyDescent="0.25">
      <c r="A10297" s="4">
        <v>10292</v>
      </c>
      <c r="B10297" s="3" t="str">
        <f>"00685267"</f>
        <v>00685267</v>
      </c>
    </row>
    <row r="10298" spans="1:2" x14ac:dyDescent="0.25">
      <c r="A10298" s="4">
        <v>10293</v>
      </c>
      <c r="B10298" s="3" t="str">
        <f>"00685272"</f>
        <v>00685272</v>
      </c>
    </row>
    <row r="10299" spans="1:2" x14ac:dyDescent="0.25">
      <c r="A10299" s="4">
        <v>10294</v>
      </c>
      <c r="B10299" s="3" t="str">
        <f>"00685274"</f>
        <v>00685274</v>
      </c>
    </row>
    <row r="10300" spans="1:2" x14ac:dyDescent="0.25">
      <c r="A10300" s="4">
        <v>10295</v>
      </c>
      <c r="B10300" s="3" t="str">
        <f>"00685282"</f>
        <v>00685282</v>
      </c>
    </row>
    <row r="10301" spans="1:2" x14ac:dyDescent="0.25">
      <c r="A10301" s="4">
        <v>10296</v>
      </c>
      <c r="B10301" s="3" t="str">
        <f>"00685289"</f>
        <v>00685289</v>
      </c>
    </row>
    <row r="10302" spans="1:2" x14ac:dyDescent="0.25">
      <c r="A10302" s="4">
        <v>10297</v>
      </c>
      <c r="B10302" s="3" t="str">
        <f>"00685291"</f>
        <v>00685291</v>
      </c>
    </row>
    <row r="10303" spans="1:2" x14ac:dyDescent="0.25">
      <c r="A10303" s="4">
        <v>10298</v>
      </c>
      <c r="B10303" s="3" t="str">
        <f>"00685298"</f>
        <v>00685298</v>
      </c>
    </row>
    <row r="10304" spans="1:2" x14ac:dyDescent="0.25">
      <c r="A10304" s="4">
        <v>10299</v>
      </c>
      <c r="B10304" s="3" t="str">
        <f>"00685307"</f>
        <v>00685307</v>
      </c>
    </row>
    <row r="10305" spans="1:2" x14ac:dyDescent="0.25">
      <c r="A10305" s="4">
        <v>10300</v>
      </c>
      <c r="B10305" s="3" t="str">
        <f>"00685313"</f>
        <v>00685313</v>
      </c>
    </row>
    <row r="10306" spans="1:2" x14ac:dyDescent="0.25">
      <c r="A10306" s="4">
        <v>10301</v>
      </c>
      <c r="B10306" s="3" t="str">
        <f>"00685315"</f>
        <v>00685315</v>
      </c>
    </row>
    <row r="10307" spans="1:2" x14ac:dyDescent="0.25">
      <c r="A10307" s="4">
        <v>10302</v>
      </c>
      <c r="B10307" s="3" t="str">
        <f>"00685318"</f>
        <v>00685318</v>
      </c>
    </row>
    <row r="10308" spans="1:2" x14ac:dyDescent="0.25">
      <c r="A10308" s="4">
        <v>10303</v>
      </c>
      <c r="B10308" s="3" t="str">
        <f>"00685335"</f>
        <v>00685335</v>
      </c>
    </row>
    <row r="10309" spans="1:2" x14ac:dyDescent="0.25">
      <c r="A10309" s="4">
        <v>10304</v>
      </c>
      <c r="B10309" s="3" t="str">
        <f>"00685339"</f>
        <v>00685339</v>
      </c>
    </row>
    <row r="10310" spans="1:2" x14ac:dyDescent="0.25">
      <c r="A10310" s="4">
        <v>10305</v>
      </c>
      <c r="B10310" s="3" t="str">
        <f>"00685341"</f>
        <v>00685341</v>
      </c>
    </row>
    <row r="10311" spans="1:2" x14ac:dyDescent="0.25">
      <c r="A10311" s="4">
        <v>10306</v>
      </c>
      <c r="B10311" s="3" t="str">
        <f>"00685343"</f>
        <v>00685343</v>
      </c>
    </row>
    <row r="10312" spans="1:2" x14ac:dyDescent="0.25">
      <c r="A10312" s="4">
        <v>10307</v>
      </c>
      <c r="B10312" s="3" t="str">
        <f>"00685367"</f>
        <v>00685367</v>
      </c>
    </row>
    <row r="10313" spans="1:2" x14ac:dyDescent="0.25">
      <c r="A10313" s="4">
        <v>10308</v>
      </c>
      <c r="B10313" s="3" t="str">
        <f>"00685368"</f>
        <v>00685368</v>
      </c>
    </row>
    <row r="10314" spans="1:2" x14ac:dyDescent="0.25">
      <c r="A10314" s="4">
        <v>10309</v>
      </c>
      <c r="B10314" s="3" t="str">
        <f>"00685374"</f>
        <v>00685374</v>
      </c>
    </row>
    <row r="10315" spans="1:2" x14ac:dyDescent="0.25">
      <c r="A10315" s="4">
        <v>10310</v>
      </c>
      <c r="B10315" s="3" t="str">
        <f>"00685391"</f>
        <v>00685391</v>
      </c>
    </row>
    <row r="10316" spans="1:2" x14ac:dyDescent="0.25">
      <c r="A10316" s="4">
        <v>10311</v>
      </c>
      <c r="B10316" s="3" t="str">
        <f>"00685401"</f>
        <v>00685401</v>
      </c>
    </row>
    <row r="10317" spans="1:2" x14ac:dyDescent="0.25">
      <c r="A10317" s="4">
        <v>10312</v>
      </c>
      <c r="B10317" s="3" t="str">
        <f>"00685406"</f>
        <v>00685406</v>
      </c>
    </row>
    <row r="10318" spans="1:2" x14ac:dyDescent="0.25">
      <c r="A10318" s="4">
        <v>10313</v>
      </c>
      <c r="B10318" s="3" t="str">
        <f>"00685411"</f>
        <v>00685411</v>
      </c>
    </row>
    <row r="10319" spans="1:2" x14ac:dyDescent="0.25">
      <c r="A10319" s="4">
        <v>10314</v>
      </c>
      <c r="B10319" s="3" t="str">
        <f>"00685419"</f>
        <v>00685419</v>
      </c>
    </row>
    <row r="10320" spans="1:2" x14ac:dyDescent="0.25">
      <c r="A10320" s="4">
        <v>10315</v>
      </c>
      <c r="B10320" s="3" t="str">
        <f>"00685424"</f>
        <v>00685424</v>
      </c>
    </row>
    <row r="10321" spans="1:2" x14ac:dyDescent="0.25">
      <c r="A10321" s="4">
        <v>10316</v>
      </c>
      <c r="B10321" s="3" t="str">
        <f>"00685426"</f>
        <v>00685426</v>
      </c>
    </row>
    <row r="10322" spans="1:2" x14ac:dyDescent="0.25">
      <c r="A10322" s="4">
        <v>10317</v>
      </c>
      <c r="B10322" s="3" t="str">
        <f>"00685427"</f>
        <v>00685427</v>
      </c>
    </row>
    <row r="10323" spans="1:2" x14ac:dyDescent="0.25">
      <c r="A10323" s="4">
        <v>10318</v>
      </c>
      <c r="B10323" s="3" t="str">
        <f>"00685429"</f>
        <v>00685429</v>
      </c>
    </row>
    <row r="10324" spans="1:2" x14ac:dyDescent="0.25">
      <c r="A10324" s="4">
        <v>10319</v>
      </c>
      <c r="B10324" s="3" t="str">
        <f>"00685441"</f>
        <v>00685441</v>
      </c>
    </row>
    <row r="10325" spans="1:2" x14ac:dyDescent="0.25">
      <c r="A10325" s="4">
        <v>10320</v>
      </c>
      <c r="B10325" s="3" t="str">
        <f>"00685443"</f>
        <v>00685443</v>
      </c>
    </row>
    <row r="10326" spans="1:2" x14ac:dyDescent="0.25">
      <c r="A10326" s="4">
        <v>10321</v>
      </c>
      <c r="B10326" s="3" t="str">
        <f>"00685445"</f>
        <v>00685445</v>
      </c>
    </row>
    <row r="10327" spans="1:2" x14ac:dyDescent="0.25">
      <c r="A10327" s="4">
        <v>10322</v>
      </c>
      <c r="B10327" s="3" t="str">
        <f>"00685451"</f>
        <v>00685451</v>
      </c>
    </row>
    <row r="10328" spans="1:2" x14ac:dyDescent="0.25">
      <c r="A10328" s="4">
        <v>10323</v>
      </c>
      <c r="B10328" s="3" t="str">
        <f>"00685455"</f>
        <v>00685455</v>
      </c>
    </row>
    <row r="10329" spans="1:2" x14ac:dyDescent="0.25">
      <c r="A10329" s="4">
        <v>10324</v>
      </c>
      <c r="B10329" s="3" t="str">
        <f>"00685456"</f>
        <v>00685456</v>
      </c>
    </row>
    <row r="10330" spans="1:2" x14ac:dyDescent="0.25">
      <c r="A10330" s="4">
        <v>10325</v>
      </c>
      <c r="B10330" s="3" t="str">
        <f>"00685458"</f>
        <v>00685458</v>
      </c>
    </row>
    <row r="10331" spans="1:2" x14ac:dyDescent="0.25">
      <c r="A10331" s="4">
        <v>10326</v>
      </c>
      <c r="B10331" s="3" t="str">
        <f>"00685459"</f>
        <v>00685459</v>
      </c>
    </row>
    <row r="10332" spans="1:2" x14ac:dyDescent="0.25">
      <c r="A10332" s="4">
        <v>10327</v>
      </c>
      <c r="B10332" s="3" t="str">
        <f>"00685461"</f>
        <v>00685461</v>
      </c>
    </row>
    <row r="10333" spans="1:2" x14ac:dyDescent="0.25">
      <c r="A10333" s="4">
        <v>10328</v>
      </c>
      <c r="B10333" s="3" t="str">
        <f>"00685469"</f>
        <v>00685469</v>
      </c>
    </row>
    <row r="10334" spans="1:2" x14ac:dyDescent="0.25">
      <c r="A10334" s="4">
        <v>10329</v>
      </c>
      <c r="B10334" s="3" t="str">
        <f>"00685484"</f>
        <v>00685484</v>
      </c>
    </row>
    <row r="10335" spans="1:2" x14ac:dyDescent="0.25">
      <c r="A10335" s="4">
        <v>10330</v>
      </c>
      <c r="B10335" s="3" t="str">
        <f>"00685486"</f>
        <v>00685486</v>
      </c>
    </row>
    <row r="10336" spans="1:2" x14ac:dyDescent="0.25">
      <c r="A10336" s="4">
        <v>10331</v>
      </c>
      <c r="B10336" s="3" t="str">
        <f>"00685496"</f>
        <v>00685496</v>
      </c>
    </row>
    <row r="10337" spans="1:2" x14ac:dyDescent="0.25">
      <c r="A10337" s="4">
        <v>10332</v>
      </c>
      <c r="B10337" s="3" t="str">
        <f>"00685498"</f>
        <v>00685498</v>
      </c>
    </row>
    <row r="10338" spans="1:2" x14ac:dyDescent="0.25">
      <c r="A10338" s="4">
        <v>10333</v>
      </c>
      <c r="B10338" s="3" t="str">
        <f>"00685501"</f>
        <v>00685501</v>
      </c>
    </row>
    <row r="10339" spans="1:2" x14ac:dyDescent="0.25">
      <c r="A10339" s="4">
        <v>10334</v>
      </c>
      <c r="B10339" s="3" t="str">
        <f>"00685503"</f>
        <v>00685503</v>
      </c>
    </row>
    <row r="10340" spans="1:2" x14ac:dyDescent="0.25">
      <c r="A10340" s="4">
        <v>10335</v>
      </c>
      <c r="B10340" s="3" t="str">
        <f>"00685504"</f>
        <v>00685504</v>
      </c>
    </row>
    <row r="10341" spans="1:2" x14ac:dyDescent="0.25">
      <c r="A10341" s="4">
        <v>10336</v>
      </c>
      <c r="B10341" s="3" t="str">
        <f>"00685528"</f>
        <v>00685528</v>
      </c>
    </row>
    <row r="10342" spans="1:2" x14ac:dyDescent="0.25">
      <c r="A10342" s="4">
        <v>10337</v>
      </c>
      <c r="B10342" s="3" t="str">
        <f>"00685544"</f>
        <v>00685544</v>
      </c>
    </row>
    <row r="10343" spans="1:2" x14ac:dyDescent="0.25">
      <c r="A10343" s="4">
        <v>10338</v>
      </c>
      <c r="B10343" s="3" t="str">
        <f>"00685546"</f>
        <v>00685546</v>
      </c>
    </row>
    <row r="10344" spans="1:2" x14ac:dyDescent="0.25">
      <c r="A10344" s="4">
        <v>10339</v>
      </c>
      <c r="B10344" s="3" t="str">
        <f>"00685547"</f>
        <v>00685547</v>
      </c>
    </row>
    <row r="10345" spans="1:2" x14ac:dyDescent="0.25">
      <c r="A10345" s="4">
        <v>10340</v>
      </c>
      <c r="B10345" s="3" t="str">
        <f>"00685572"</f>
        <v>00685572</v>
      </c>
    </row>
    <row r="10346" spans="1:2" x14ac:dyDescent="0.25">
      <c r="A10346" s="4">
        <v>10341</v>
      </c>
      <c r="B10346" s="3" t="str">
        <f>"00685585"</f>
        <v>00685585</v>
      </c>
    </row>
    <row r="10347" spans="1:2" x14ac:dyDescent="0.25">
      <c r="A10347" s="4">
        <v>10342</v>
      </c>
      <c r="B10347" s="3" t="str">
        <f>"00685618"</f>
        <v>00685618</v>
      </c>
    </row>
    <row r="10348" spans="1:2" x14ac:dyDescent="0.25">
      <c r="A10348" s="4">
        <v>10343</v>
      </c>
      <c r="B10348" s="3" t="str">
        <f>"00685623"</f>
        <v>00685623</v>
      </c>
    </row>
    <row r="10349" spans="1:2" x14ac:dyDescent="0.25">
      <c r="A10349" s="4">
        <v>10344</v>
      </c>
      <c r="B10349" s="3" t="str">
        <f>"00685626"</f>
        <v>00685626</v>
      </c>
    </row>
    <row r="10350" spans="1:2" x14ac:dyDescent="0.25">
      <c r="A10350" s="4">
        <v>10345</v>
      </c>
      <c r="B10350" s="3" t="str">
        <f>"00685633"</f>
        <v>00685633</v>
      </c>
    </row>
    <row r="10351" spans="1:2" x14ac:dyDescent="0.25">
      <c r="A10351" s="4">
        <v>10346</v>
      </c>
      <c r="B10351" s="3" t="str">
        <f>"00685634"</f>
        <v>00685634</v>
      </c>
    </row>
    <row r="10352" spans="1:2" x14ac:dyDescent="0.25">
      <c r="A10352" s="4">
        <v>10347</v>
      </c>
      <c r="B10352" s="3" t="str">
        <f>"00685645"</f>
        <v>00685645</v>
      </c>
    </row>
    <row r="10353" spans="1:2" x14ac:dyDescent="0.25">
      <c r="A10353" s="4">
        <v>10348</v>
      </c>
      <c r="B10353" s="3" t="str">
        <f>"00685659"</f>
        <v>00685659</v>
      </c>
    </row>
    <row r="10354" spans="1:2" x14ac:dyDescent="0.25">
      <c r="A10354" s="4">
        <v>10349</v>
      </c>
      <c r="B10354" s="3" t="str">
        <f>"00685680"</f>
        <v>00685680</v>
      </c>
    </row>
    <row r="10355" spans="1:2" x14ac:dyDescent="0.25">
      <c r="A10355" s="4">
        <v>10350</v>
      </c>
      <c r="B10355" s="3" t="str">
        <f>"00685688"</f>
        <v>00685688</v>
      </c>
    </row>
    <row r="10356" spans="1:2" x14ac:dyDescent="0.25">
      <c r="A10356" s="4">
        <v>10351</v>
      </c>
      <c r="B10356" s="3" t="str">
        <f>"00685690"</f>
        <v>00685690</v>
      </c>
    </row>
    <row r="10357" spans="1:2" x14ac:dyDescent="0.25">
      <c r="A10357" s="4">
        <v>10352</v>
      </c>
      <c r="B10357" s="3" t="str">
        <f>"00685711"</f>
        <v>00685711</v>
      </c>
    </row>
    <row r="10358" spans="1:2" x14ac:dyDescent="0.25">
      <c r="A10358" s="4">
        <v>10353</v>
      </c>
      <c r="B10358" s="3" t="str">
        <f>"00685715"</f>
        <v>00685715</v>
      </c>
    </row>
    <row r="10359" spans="1:2" x14ac:dyDescent="0.25">
      <c r="A10359" s="4">
        <v>10354</v>
      </c>
      <c r="B10359" s="3" t="str">
        <f>"00685733"</f>
        <v>00685733</v>
      </c>
    </row>
    <row r="10360" spans="1:2" x14ac:dyDescent="0.25">
      <c r="A10360" s="4">
        <v>10355</v>
      </c>
      <c r="B10360" s="3" t="str">
        <f>"00685736"</f>
        <v>00685736</v>
      </c>
    </row>
    <row r="10361" spans="1:2" x14ac:dyDescent="0.25">
      <c r="A10361" s="4">
        <v>10356</v>
      </c>
      <c r="B10361" s="3" t="str">
        <f>"00685757"</f>
        <v>00685757</v>
      </c>
    </row>
    <row r="10362" spans="1:2" x14ac:dyDescent="0.25">
      <c r="A10362" s="4">
        <v>10357</v>
      </c>
      <c r="B10362" s="3" t="str">
        <f>"00685770"</f>
        <v>00685770</v>
      </c>
    </row>
    <row r="10363" spans="1:2" x14ac:dyDescent="0.25">
      <c r="A10363" s="4">
        <v>10358</v>
      </c>
      <c r="B10363" s="3" t="str">
        <f>"00685786"</f>
        <v>00685786</v>
      </c>
    </row>
    <row r="10364" spans="1:2" x14ac:dyDescent="0.25">
      <c r="A10364" s="4">
        <v>10359</v>
      </c>
      <c r="B10364" s="3" t="str">
        <f>"00685788"</f>
        <v>00685788</v>
      </c>
    </row>
    <row r="10365" spans="1:2" x14ac:dyDescent="0.25">
      <c r="A10365" s="4">
        <v>10360</v>
      </c>
      <c r="B10365" s="3" t="str">
        <f>"00685798"</f>
        <v>00685798</v>
      </c>
    </row>
    <row r="10366" spans="1:2" x14ac:dyDescent="0.25">
      <c r="A10366" s="4">
        <v>10361</v>
      </c>
      <c r="B10366" s="3" t="str">
        <f>"00685801"</f>
        <v>00685801</v>
      </c>
    </row>
    <row r="10367" spans="1:2" x14ac:dyDescent="0.25">
      <c r="A10367" s="4">
        <v>10362</v>
      </c>
      <c r="B10367" s="3" t="str">
        <f>"00685806"</f>
        <v>00685806</v>
      </c>
    </row>
    <row r="10368" spans="1:2" x14ac:dyDescent="0.25">
      <c r="A10368" s="4">
        <v>10363</v>
      </c>
      <c r="B10368" s="3" t="str">
        <f>"00685811"</f>
        <v>00685811</v>
      </c>
    </row>
    <row r="10369" spans="1:2" x14ac:dyDescent="0.25">
      <c r="A10369" s="4">
        <v>10364</v>
      </c>
      <c r="B10369" s="3" t="str">
        <f>"00685826"</f>
        <v>00685826</v>
      </c>
    </row>
    <row r="10370" spans="1:2" x14ac:dyDescent="0.25">
      <c r="A10370" s="4">
        <v>10365</v>
      </c>
      <c r="B10370" s="3" t="str">
        <f>"00685832"</f>
        <v>00685832</v>
      </c>
    </row>
    <row r="10371" spans="1:2" x14ac:dyDescent="0.25">
      <c r="A10371" s="4">
        <v>10366</v>
      </c>
      <c r="B10371" s="3" t="str">
        <f>"00685844"</f>
        <v>00685844</v>
      </c>
    </row>
    <row r="10372" spans="1:2" x14ac:dyDescent="0.25">
      <c r="A10372" s="4">
        <v>10367</v>
      </c>
      <c r="B10372" s="3" t="str">
        <f>"00685848"</f>
        <v>00685848</v>
      </c>
    </row>
    <row r="10373" spans="1:2" x14ac:dyDescent="0.25">
      <c r="A10373" s="4">
        <v>10368</v>
      </c>
      <c r="B10373" s="3" t="str">
        <f>"00685899"</f>
        <v>00685899</v>
      </c>
    </row>
    <row r="10374" spans="1:2" x14ac:dyDescent="0.25">
      <c r="A10374" s="4">
        <v>10369</v>
      </c>
      <c r="B10374" s="3" t="str">
        <f>"00685912"</f>
        <v>00685912</v>
      </c>
    </row>
    <row r="10375" spans="1:2" x14ac:dyDescent="0.25">
      <c r="A10375" s="4">
        <v>10370</v>
      </c>
      <c r="B10375" s="3" t="str">
        <f>"00685924"</f>
        <v>00685924</v>
      </c>
    </row>
    <row r="10376" spans="1:2" x14ac:dyDescent="0.25">
      <c r="A10376" s="4">
        <v>10371</v>
      </c>
      <c r="B10376" s="3" t="str">
        <f>"00685953"</f>
        <v>00685953</v>
      </c>
    </row>
    <row r="10377" spans="1:2" x14ac:dyDescent="0.25">
      <c r="A10377" s="4">
        <v>10372</v>
      </c>
      <c r="B10377" s="3" t="str">
        <f>"00685968"</f>
        <v>00685968</v>
      </c>
    </row>
    <row r="10378" spans="1:2" x14ac:dyDescent="0.25">
      <c r="A10378" s="4">
        <v>10373</v>
      </c>
      <c r="B10378" s="3" t="str">
        <f>"00685970"</f>
        <v>00685970</v>
      </c>
    </row>
    <row r="10379" spans="1:2" x14ac:dyDescent="0.25">
      <c r="A10379" s="4">
        <v>10374</v>
      </c>
      <c r="B10379" s="3" t="str">
        <f>"00685971"</f>
        <v>00685971</v>
      </c>
    </row>
    <row r="10380" spans="1:2" x14ac:dyDescent="0.25">
      <c r="A10380" s="4">
        <v>10375</v>
      </c>
      <c r="B10380" s="3" t="str">
        <f>"00685974"</f>
        <v>00685974</v>
      </c>
    </row>
    <row r="10381" spans="1:2" x14ac:dyDescent="0.25">
      <c r="A10381" s="4">
        <v>10376</v>
      </c>
      <c r="B10381" s="3" t="str">
        <f>"00685983"</f>
        <v>00685983</v>
      </c>
    </row>
    <row r="10382" spans="1:2" x14ac:dyDescent="0.25">
      <c r="A10382" s="4">
        <v>10377</v>
      </c>
      <c r="B10382" s="3" t="str">
        <f>"00685997"</f>
        <v>00685997</v>
      </c>
    </row>
    <row r="10383" spans="1:2" x14ac:dyDescent="0.25">
      <c r="A10383" s="4">
        <v>10378</v>
      </c>
      <c r="B10383" s="3" t="str">
        <f>"00686017"</f>
        <v>00686017</v>
      </c>
    </row>
    <row r="10384" spans="1:2" x14ac:dyDescent="0.25">
      <c r="A10384" s="4">
        <v>10379</v>
      </c>
      <c r="B10384" s="3" t="str">
        <f>"00686032"</f>
        <v>00686032</v>
      </c>
    </row>
    <row r="10385" spans="1:2" x14ac:dyDescent="0.25">
      <c r="A10385" s="4">
        <v>10380</v>
      </c>
      <c r="B10385" s="3" t="str">
        <f>"00686045"</f>
        <v>00686045</v>
      </c>
    </row>
    <row r="10386" spans="1:2" x14ac:dyDescent="0.25">
      <c r="A10386" s="4">
        <v>10381</v>
      </c>
      <c r="B10386" s="3" t="str">
        <f>"00686054"</f>
        <v>00686054</v>
      </c>
    </row>
    <row r="10387" spans="1:2" x14ac:dyDescent="0.25">
      <c r="A10387" s="4">
        <v>10382</v>
      </c>
      <c r="B10387" s="3" t="str">
        <f>"00686058"</f>
        <v>00686058</v>
      </c>
    </row>
    <row r="10388" spans="1:2" x14ac:dyDescent="0.25">
      <c r="A10388" s="4">
        <v>10383</v>
      </c>
      <c r="B10388" s="3" t="str">
        <f>"00686059"</f>
        <v>00686059</v>
      </c>
    </row>
    <row r="10389" spans="1:2" x14ac:dyDescent="0.25">
      <c r="A10389" s="4">
        <v>10384</v>
      </c>
      <c r="B10389" s="3" t="str">
        <f>"00686079"</f>
        <v>00686079</v>
      </c>
    </row>
    <row r="10390" spans="1:2" x14ac:dyDescent="0.25">
      <c r="A10390" s="4">
        <v>10385</v>
      </c>
      <c r="B10390" s="3" t="str">
        <f>"00686086"</f>
        <v>00686086</v>
      </c>
    </row>
    <row r="10391" spans="1:2" x14ac:dyDescent="0.25">
      <c r="A10391" s="4">
        <v>10386</v>
      </c>
      <c r="B10391" s="3" t="str">
        <f>"00686112"</f>
        <v>00686112</v>
      </c>
    </row>
    <row r="10392" spans="1:2" x14ac:dyDescent="0.25">
      <c r="A10392" s="4">
        <v>10387</v>
      </c>
      <c r="B10392" s="3" t="str">
        <f>"00686114"</f>
        <v>00686114</v>
      </c>
    </row>
    <row r="10393" spans="1:2" x14ac:dyDescent="0.25">
      <c r="A10393" s="4">
        <v>10388</v>
      </c>
      <c r="B10393" s="3" t="str">
        <f>"00686118"</f>
        <v>00686118</v>
      </c>
    </row>
    <row r="10394" spans="1:2" x14ac:dyDescent="0.25">
      <c r="A10394" s="4">
        <v>10389</v>
      </c>
      <c r="B10394" s="3" t="str">
        <f>"00686123"</f>
        <v>00686123</v>
      </c>
    </row>
    <row r="10395" spans="1:2" x14ac:dyDescent="0.25">
      <c r="A10395" s="4">
        <v>10390</v>
      </c>
      <c r="B10395" s="3" t="str">
        <f>"00686143"</f>
        <v>00686143</v>
      </c>
    </row>
    <row r="10396" spans="1:2" x14ac:dyDescent="0.25">
      <c r="A10396" s="4">
        <v>10391</v>
      </c>
      <c r="B10396" s="3" t="str">
        <f>"00686165"</f>
        <v>00686165</v>
      </c>
    </row>
    <row r="10397" spans="1:2" x14ac:dyDescent="0.25">
      <c r="A10397" s="4">
        <v>10392</v>
      </c>
      <c r="B10397" s="3" t="str">
        <f>"00686175"</f>
        <v>00686175</v>
      </c>
    </row>
    <row r="10398" spans="1:2" x14ac:dyDescent="0.25">
      <c r="A10398" s="4">
        <v>10393</v>
      </c>
      <c r="B10398" s="3" t="str">
        <f>"00686178"</f>
        <v>00686178</v>
      </c>
    </row>
    <row r="10399" spans="1:2" x14ac:dyDescent="0.25">
      <c r="A10399" s="4">
        <v>10394</v>
      </c>
      <c r="B10399" s="3" t="str">
        <f>"00686191"</f>
        <v>00686191</v>
      </c>
    </row>
    <row r="10400" spans="1:2" x14ac:dyDescent="0.25">
      <c r="A10400" s="4">
        <v>10395</v>
      </c>
      <c r="B10400" s="3" t="str">
        <f>"00686198"</f>
        <v>00686198</v>
      </c>
    </row>
    <row r="10401" spans="1:2" x14ac:dyDescent="0.25">
      <c r="A10401" s="4">
        <v>10396</v>
      </c>
      <c r="B10401" s="3" t="str">
        <f>"00686211"</f>
        <v>00686211</v>
      </c>
    </row>
    <row r="10402" spans="1:2" x14ac:dyDescent="0.25">
      <c r="A10402" s="4">
        <v>10397</v>
      </c>
      <c r="B10402" s="3" t="str">
        <f>"00686243"</f>
        <v>00686243</v>
      </c>
    </row>
    <row r="10403" spans="1:2" x14ac:dyDescent="0.25">
      <c r="A10403" s="4">
        <v>10398</v>
      </c>
      <c r="B10403" s="3" t="str">
        <f>"00686245"</f>
        <v>00686245</v>
      </c>
    </row>
    <row r="10404" spans="1:2" x14ac:dyDescent="0.25">
      <c r="A10404" s="4">
        <v>10399</v>
      </c>
      <c r="B10404" s="3" t="str">
        <f>"00686246"</f>
        <v>00686246</v>
      </c>
    </row>
    <row r="10405" spans="1:2" x14ac:dyDescent="0.25">
      <c r="A10405" s="4">
        <v>10400</v>
      </c>
      <c r="B10405" s="3" t="str">
        <f>"00686255"</f>
        <v>00686255</v>
      </c>
    </row>
    <row r="10406" spans="1:2" x14ac:dyDescent="0.25">
      <c r="A10406" s="4">
        <v>10401</v>
      </c>
      <c r="B10406" s="3" t="str">
        <f>"00686272"</f>
        <v>00686272</v>
      </c>
    </row>
    <row r="10407" spans="1:2" x14ac:dyDescent="0.25">
      <c r="A10407" s="4">
        <v>10402</v>
      </c>
      <c r="B10407" s="3" t="str">
        <f>"00686277"</f>
        <v>00686277</v>
      </c>
    </row>
    <row r="10408" spans="1:2" x14ac:dyDescent="0.25">
      <c r="A10408" s="4">
        <v>10403</v>
      </c>
      <c r="B10408" s="3" t="str">
        <f>"00686278"</f>
        <v>00686278</v>
      </c>
    </row>
    <row r="10409" spans="1:2" x14ac:dyDescent="0.25">
      <c r="A10409" s="4">
        <v>10404</v>
      </c>
      <c r="B10409" s="3" t="str">
        <f>"00686279"</f>
        <v>00686279</v>
      </c>
    </row>
    <row r="10410" spans="1:2" x14ac:dyDescent="0.25">
      <c r="A10410" s="4">
        <v>10405</v>
      </c>
      <c r="B10410" s="3" t="str">
        <f>"00686280"</f>
        <v>00686280</v>
      </c>
    </row>
    <row r="10411" spans="1:2" x14ac:dyDescent="0.25">
      <c r="A10411" s="4">
        <v>10406</v>
      </c>
      <c r="B10411" s="3" t="str">
        <f>"00686287"</f>
        <v>00686287</v>
      </c>
    </row>
    <row r="10412" spans="1:2" x14ac:dyDescent="0.25">
      <c r="A10412" s="4">
        <v>10407</v>
      </c>
      <c r="B10412" s="3" t="str">
        <f>"00686308"</f>
        <v>00686308</v>
      </c>
    </row>
    <row r="10413" spans="1:2" x14ac:dyDescent="0.25">
      <c r="A10413" s="4">
        <v>10408</v>
      </c>
      <c r="B10413" s="3" t="str">
        <f>"00686309"</f>
        <v>00686309</v>
      </c>
    </row>
    <row r="10414" spans="1:2" x14ac:dyDescent="0.25">
      <c r="A10414" s="4">
        <v>10409</v>
      </c>
      <c r="B10414" s="3" t="str">
        <f>"00686312"</f>
        <v>00686312</v>
      </c>
    </row>
    <row r="10415" spans="1:2" x14ac:dyDescent="0.25">
      <c r="A10415" s="4">
        <v>10410</v>
      </c>
      <c r="B10415" s="3" t="str">
        <f>"00686313"</f>
        <v>00686313</v>
      </c>
    </row>
    <row r="10416" spans="1:2" x14ac:dyDescent="0.25">
      <c r="A10416" s="4">
        <v>10411</v>
      </c>
      <c r="B10416" s="3" t="str">
        <f>"00686322"</f>
        <v>00686322</v>
      </c>
    </row>
    <row r="10417" spans="1:2" x14ac:dyDescent="0.25">
      <c r="A10417" s="4">
        <v>10412</v>
      </c>
      <c r="B10417" s="3" t="str">
        <f>"00686324"</f>
        <v>00686324</v>
      </c>
    </row>
    <row r="10418" spans="1:2" x14ac:dyDescent="0.25">
      <c r="A10418" s="4">
        <v>10413</v>
      </c>
      <c r="B10418" s="3" t="str">
        <f>"00686331"</f>
        <v>00686331</v>
      </c>
    </row>
    <row r="10419" spans="1:2" x14ac:dyDescent="0.25">
      <c r="A10419" s="4">
        <v>10414</v>
      </c>
      <c r="B10419" s="3" t="str">
        <f>"00686332"</f>
        <v>00686332</v>
      </c>
    </row>
    <row r="10420" spans="1:2" x14ac:dyDescent="0.25">
      <c r="A10420" s="4">
        <v>10415</v>
      </c>
      <c r="B10420" s="3" t="str">
        <f>"00686334"</f>
        <v>00686334</v>
      </c>
    </row>
    <row r="10421" spans="1:2" x14ac:dyDescent="0.25">
      <c r="A10421" s="4">
        <v>10416</v>
      </c>
      <c r="B10421" s="3" t="str">
        <f>"00686338"</f>
        <v>00686338</v>
      </c>
    </row>
    <row r="10422" spans="1:2" x14ac:dyDescent="0.25">
      <c r="A10422" s="4">
        <v>10417</v>
      </c>
      <c r="B10422" s="3" t="str">
        <f>"00686342"</f>
        <v>00686342</v>
      </c>
    </row>
    <row r="10423" spans="1:2" x14ac:dyDescent="0.25">
      <c r="A10423" s="4">
        <v>10418</v>
      </c>
      <c r="B10423" s="3" t="str">
        <f>"00686353"</f>
        <v>00686353</v>
      </c>
    </row>
    <row r="10424" spans="1:2" x14ac:dyDescent="0.25">
      <c r="A10424" s="4">
        <v>10419</v>
      </c>
      <c r="B10424" s="3" t="str">
        <f>"00686361"</f>
        <v>00686361</v>
      </c>
    </row>
    <row r="10425" spans="1:2" x14ac:dyDescent="0.25">
      <c r="A10425" s="4">
        <v>10420</v>
      </c>
      <c r="B10425" s="3" t="str">
        <f>"00686366"</f>
        <v>00686366</v>
      </c>
    </row>
    <row r="10426" spans="1:2" x14ac:dyDescent="0.25">
      <c r="A10426" s="4">
        <v>10421</v>
      </c>
      <c r="B10426" s="3" t="str">
        <f>"00686390"</f>
        <v>00686390</v>
      </c>
    </row>
    <row r="10427" spans="1:2" x14ac:dyDescent="0.25">
      <c r="A10427" s="4">
        <v>10422</v>
      </c>
      <c r="B10427" s="3" t="str">
        <f>"00686392"</f>
        <v>00686392</v>
      </c>
    </row>
    <row r="10428" spans="1:2" x14ac:dyDescent="0.25">
      <c r="A10428" s="4">
        <v>10423</v>
      </c>
      <c r="B10428" s="3" t="str">
        <f>"00686404"</f>
        <v>00686404</v>
      </c>
    </row>
    <row r="10429" spans="1:2" x14ac:dyDescent="0.25">
      <c r="A10429" s="4">
        <v>10424</v>
      </c>
      <c r="B10429" s="3" t="str">
        <f>"00686407"</f>
        <v>00686407</v>
      </c>
    </row>
    <row r="10430" spans="1:2" x14ac:dyDescent="0.25">
      <c r="A10430" s="4">
        <v>10425</v>
      </c>
      <c r="B10430" s="3" t="str">
        <f>"00686410"</f>
        <v>00686410</v>
      </c>
    </row>
    <row r="10431" spans="1:2" x14ac:dyDescent="0.25">
      <c r="A10431" s="4">
        <v>10426</v>
      </c>
      <c r="B10431" s="3" t="str">
        <f>"00686411"</f>
        <v>00686411</v>
      </c>
    </row>
    <row r="10432" spans="1:2" x14ac:dyDescent="0.25">
      <c r="A10432" s="4">
        <v>10427</v>
      </c>
      <c r="B10432" s="3" t="str">
        <f>"00686420"</f>
        <v>00686420</v>
      </c>
    </row>
    <row r="10433" spans="1:2" x14ac:dyDescent="0.25">
      <c r="A10433" s="4">
        <v>10428</v>
      </c>
      <c r="B10433" s="3" t="str">
        <f>"00686428"</f>
        <v>00686428</v>
      </c>
    </row>
    <row r="10434" spans="1:2" x14ac:dyDescent="0.25">
      <c r="A10434" s="4">
        <v>10429</v>
      </c>
      <c r="B10434" s="3" t="str">
        <f>"00686429"</f>
        <v>00686429</v>
      </c>
    </row>
    <row r="10435" spans="1:2" x14ac:dyDescent="0.25">
      <c r="A10435" s="4">
        <v>10430</v>
      </c>
      <c r="B10435" s="3" t="str">
        <f>"00686430"</f>
        <v>00686430</v>
      </c>
    </row>
    <row r="10436" spans="1:2" x14ac:dyDescent="0.25">
      <c r="A10436" s="4">
        <v>10431</v>
      </c>
      <c r="B10436" s="3" t="str">
        <f>"00686437"</f>
        <v>00686437</v>
      </c>
    </row>
    <row r="10437" spans="1:2" x14ac:dyDescent="0.25">
      <c r="A10437" s="4">
        <v>10432</v>
      </c>
      <c r="B10437" s="3" t="str">
        <f>"00686440"</f>
        <v>00686440</v>
      </c>
    </row>
    <row r="10438" spans="1:2" x14ac:dyDescent="0.25">
      <c r="A10438" s="4">
        <v>10433</v>
      </c>
      <c r="B10438" s="3" t="str">
        <f>"00686441"</f>
        <v>00686441</v>
      </c>
    </row>
    <row r="10439" spans="1:2" x14ac:dyDescent="0.25">
      <c r="A10439" s="4">
        <v>10434</v>
      </c>
      <c r="B10439" s="3" t="str">
        <f>"00686453"</f>
        <v>00686453</v>
      </c>
    </row>
    <row r="10440" spans="1:2" x14ac:dyDescent="0.25">
      <c r="A10440" s="4">
        <v>10435</v>
      </c>
      <c r="B10440" s="3" t="str">
        <f>"00686464"</f>
        <v>00686464</v>
      </c>
    </row>
    <row r="10441" spans="1:2" x14ac:dyDescent="0.25">
      <c r="A10441" s="4">
        <v>10436</v>
      </c>
      <c r="B10441" s="3" t="str">
        <f>"00686468"</f>
        <v>00686468</v>
      </c>
    </row>
    <row r="10442" spans="1:2" x14ac:dyDescent="0.25">
      <c r="A10442" s="4">
        <v>10437</v>
      </c>
      <c r="B10442" s="3" t="str">
        <f>"00686470"</f>
        <v>00686470</v>
      </c>
    </row>
    <row r="10443" spans="1:2" x14ac:dyDescent="0.25">
      <c r="A10443" s="4">
        <v>10438</v>
      </c>
      <c r="B10443" s="3" t="str">
        <f>"00686477"</f>
        <v>00686477</v>
      </c>
    </row>
    <row r="10444" spans="1:2" x14ac:dyDescent="0.25">
      <c r="A10444" s="4">
        <v>10439</v>
      </c>
      <c r="B10444" s="3" t="str">
        <f>"00686478"</f>
        <v>00686478</v>
      </c>
    </row>
    <row r="10445" spans="1:2" x14ac:dyDescent="0.25">
      <c r="A10445" s="4">
        <v>10440</v>
      </c>
      <c r="B10445" s="3" t="str">
        <f>"00686479"</f>
        <v>00686479</v>
      </c>
    </row>
    <row r="10446" spans="1:2" x14ac:dyDescent="0.25">
      <c r="A10446" s="4">
        <v>10441</v>
      </c>
      <c r="B10446" s="3" t="str">
        <f>"00686511"</f>
        <v>00686511</v>
      </c>
    </row>
    <row r="10447" spans="1:2" x14ac:dyDescent="0.25">
      <c r="A10447" s="4">
        <v>10442</v>
      </c>
      <c r="B10447" s="3" t="str">
        <f>"00686514"</f>
        <v>00686514</v>
      </c>
    </row>
    <row r="10448" spans="1:2" x14ac:dyDescent="0.25">
      <c r="A10448" s="4">
        <v>10443</v>
      </c>
      <c r="B10448" s="3" t="str">
        <f>"00686523"</f>
        <v>00686523</v>
      </c>
    </row>
    <row r="10449" spans="1:2" x14ac:dyDescent="0.25">
      <c r="A10449" s="4">
        <v>10444</v>
      </c>
      <c r="B10449" s="3" t="str">
        <f>"00686524"</f>
        <v>00686524</v>
      </c>
    </row>
    <row r="10450" spans="1:2" x14ac:dyDescent="0.25">
      <c r="A10450" s="4">
        <v>10445</v>
      </c>
      <c r="B10450" s="3" t="str">
        <f>"00686537"</f>
        <v>00686537</v>
      </c>
    </row>
    <row r="10451" spans="1:2" x14ac:dyDescent="0.25">
      <c r="A10451" s="4">
        <v>10446</v>
      </c>
      <c r="B10451" s="3" t="str">
        <f>"00686549"</f>
        <v>00686549</v>
      </c>
    </row>
    <row r="10452" spans="1:2" x14ac:dyDescent="0.25">
      <c r="A10452" s="4">
        <v>10447</v>
      </c>
      <c r="B10452" s="3" t="str">
        <f>"00686551"</f>
        <v>00686551</v>
      </c>
    </row>
    <row r="10453" spans="1:2" x14ac:dyDescent="0.25">
      <c r="A10453" s="4">
        <v>10448</v>
      </c>
      <c r="B10453" s="3" t="str">
        <f>"00686556"</f>
        <v>00686556</v>
      </c>
    </row>
    <row r="10454" spans="1:2" x14ac:dyDescent="0.25">
      <c r="A10454" s="4">
        <v>10449</v>
      </c>
      <c r="B10454" s="3" t="str">
        <f>"00686572"</f>
        <v>00686572</v>
      </c>
    </row>
    <row r="10455" spans="1:2" x14ac:dyDescent="0.25">
      <c r="A10455" s="4">
        <v>10450</v>
      </c>
      <c r="B10455" s="3" t="str">
        <f>"00686573"</f>
        <v>00686573</v>
      </c>
    </row>
    <row r="10456" spans="1:2" x14ac:dyDescent="0.25">
      <c r="A10456" s="4">
        <v>10451</v>
      </c>
      <c r="B10456" s="3" t="str">
        <f>"00686579"</f>
        <v>00686579</v>
      </c>
    </row>
    <row r="10457" spans="1:2" x14ac:dyDescent="0.25">
      <c r="A10457" s="4">
        <v>10452</v>
      </c>
      <c r="B10457" s="3" t="str">
        <f>"00686587"</f>
        <v>00686587</v>
      </c>
    </row>
    <row r="10458" spans="1:2" x14ac:dyDescent="0.25">
      <c r="A10458" s="4">
        <v>10453</v>
      </c>
      <c r="B10458" s="3" t="str">
        <f>"00686588"</f>
        <v>00686588</v>
      </c>
    </row>
    <row r="10459" spans="1:2" x14ac:dyDescent="0.25">
      <c r="A10459" s="4">
        <v>10454</v>
      </c>
      <c r="B10459" s="3" t="str">
        <f>"00686599"</f>
        <v>00686599</v>
      </c>
    </row>
    <row r="10460" spans="1:2" x14ac:dyDescent="0.25">
      <c r="A10460" s="4">
        <v>10455</v>
      </c>
      <c r="B10460" s="3" t="str">
        <f>"00686610"</f>
        <v>00686610</v>
      </c>
    </row>
    <row r="10461" spans="1:2" x14ac:dyDescent="0.25">
      <c r="A10461" s="4">
        <v>10456</v>
      </c>
      <c r="B10461" s="3" t="str">
        <f>"00686613"</f>
        <v>00686613</v>
      </c>
    </row>
    <row r="10462" spans="1:2" x14ac:dyDescent="0.25">
      <c r="A10462" s="4">
        <v>10457</v>
      </c>
      <c r="B10462" s="3" t="str">
        <f>"00686616"</f>
        <v>00686616</v>
      </c>
    </row>
    <row r="10463" spans="1:2" x14ac:dyDescent="0.25">
      <c r="A10463" s="4">
        <v>10458</v>
      </c>
      <c r="B10463" s="3" t="str">
        <f>"00686628"</f>
        <v>00686628</v>
      </c>
    </row>
    <row r="10464" spans="1:2" x14ac:dyDescent="0.25">
      <c r="A10464" s="4">
        <v>10459</v>
      </c>
      <c r="B10464" s="3" t="str">
        <f>"00686639"</f>
        <v>00686639</v>
      </c>
    </row>
    <row r="10465" spans="1:2" x14ac:dyDescent="0.25">
      <c r="A10465" s="4">
        <v>10460</v>
      </c>
      <c r="B10465" s="3" t="str">
        <f>"00686640"</f>
        <v>00686640</v>
      </c>
    </row>
    <row r="10466" spans="1:2" x14ac:dyDescent="0.25">
      <c r="A10466" s="4">
        <v>10461</v>
      </c>
      <c r="B10466" s="3" t="str">
        <f>"00686647"</f>
        <v>00686647</v>
      </c>
    </row>
    <row r="10467" spans="1:2" x14ac:dyDescent="0.25">
      <c r="A10467" s="4">
        <v>10462</v>
      </c>
      <c r="B10467" s="3" t="str">
        <f>"00686652"</f>
        <v>00686652</v>
      </c>
    </row>
    <row r="10468" spans="1:2" x14ac:dyDescent="0.25">
      <c r="A10468" s="4">
        <v>10463</v>
      </c>
      <c r="B10468" s="3" t="str">
        <f>"00686660"</f>
        <v>00686660</v>
      </c>
    </row>
    <row r="10469" spans="1:2" x14ac:dyDescent="0.25">
      <c r="A10469" s="4">
        <v>10464</v>
      </c>
      <c r="B10469" s="3" t="str">
        <f>"00686662"</f>
        <v>00686662</v>
      </c>
    </row>
    <row r="10470" spans="1:2" x14ac:dyDescent="0.25">
      <c r="A10470" s="4">
        <v>10465</v>
      </c>
      <c r="B10470" s="3" t="str">
        <f>"00686709"</f>
        <v>00686709</v>
      </c>
    </row>
    <row r="10471" spans="1:2" x14ac:dyDescent="0.25">
      <c r="A10471" s="4">
        <v>10466</v>
      </c>
      <c r="B10471" s="3" t="str">
        <f>"00686710"</f>
        <v>00686710</v>
      </c>
    </row>
    <row r="10472" spans="1:2" x14ac:dyDescent="0.25">
      <c r="A10472" s="4">
        <v>10467</v>
      </c>
      <c r="B10472" s="3" t="str">
        <f>"00686722"</f>
        <v>00686722</v>
      </c>
    </row>
    <row r="10473" spans="1:2" x14ac:dyDescent="0.25">
      <c r="A10473" s="4">
        <v>10468</v>
      </c>
      <c r="B10473" s="3" t="str">
        <f>"00686728"</f>
        <v>00686728</v>
      </c>
    </row>
    <row r="10474" spans="1:2" x14ac:dyDescent="0.25">
      <c r="A10474" s="4">
        <v>10469</v>
      </c>
      <c r="B10474" s="3" t="str">
        <f>"00686753"</f>
        <v>00686753</v>
      </c>
    </row>
    <row r="10475" spans="1:2" x14ac:dyDescent="0.25">
      <c r="A10475" s="4">
        <v>10470</v>
      </c>
      <c r="B10475" s="3" t="str">
        <f>"00686754"</f>
        <v>00686754</v>
      </c>
    </row>
    <row r="10476" spans="1:2" x14ac:dyDescent="0.25">
      <c r="A10476" s="4">
        <v>10471</v>
      </c>
      <c r="B10476" s="3" t="str">
        <f>"00686776"</f>
        <v>00686776</v>
      </c>
    </row>
    <row r="10477" spans="1:2" x14ac:dyDescent="0.25">
      <c r="A10477" s="4">
        <v>10472</v>
      </c>
      <c r="B10477" s="3" t="str">
        <f>"00686806"</f>
        <v>00686806</v>
      </c>
    </row>
    <row r="10478" spans="1:2" x14ac:dyDescent="0.25">
      <c r="A10478" s="4">
        <v>10473</v>
      </c>
      <c r="B10478" s="3" t="str">
        <f>"00686812"</f>
        <v>00686812</v>
      </c>
    </row>
    <row r="10479" spans="1:2" x14ac:dyDescent="0.25">
      <c r="A10479" s="4">
        <v>10474</v>
      </c>
      <c r="B10479" s="3" t="str">
        <f>"00686814"</f>
        <v>00686814</v>
      </c>
    </row>
    <row r="10480" spans="1:2" x14ac:dyDescent="0.25">
      <c r="A10480" s="4">
        <v>10475</v>
      </c>
      <c r="B10480" s="3" t="str">
        <f>"00686815"</f>
        <v>00686815</v>
      </c>
    </row>
    <row r="10481" spans="1:2" x14ac:dyDescent="0.25">
      <c r="A10481" s="4">
        <v>10476</v>
      </c>
      <c r="B10481" s="3" t="str">
        <f>"00686817"</f>
        <v>00686817</v>
      </c>
    </row>
    <row r="10482" spans="1:2" x14ac:dyDescent="0.25">
      <c r="A10482" s="4">
        <v>10477</v>
      </c>
      <c r="B10482" s="3" t="str">
        <f>"00686820"</f>
        <v>00686820</v>
      </c>
    </row>
    <row r="10483" spans="1:2" x14ac:dyDescent="0.25">
      <c r="A10483" s="4">
        <v>10478</v>
      </c>
      <c r="B10483" s="3" t="str">
        <f>"00686870"</f>
        <v>00686870</v>
      </c>
    </row>
    <row r="10484" spans="1:2" x14ac:dyDescent="0.25">
      <c r="A10484" s="4">
        <v>10479</v>
      </c>
      <c r="B10484" s="3" t="str">
        <f>"00686879"</f>
        <v>00686879</v>
      </c>
    </row>
    <row r="10485" spans="1:2" x14ac:dyDescent="0.25">
      <c r="A10485" s="4">
        <v>10480</v>
      </c>
      <c r="B10485" s="3" t="str">
        <f>"00686897"</f>
        <v>00686897</v>
      </c>
    </row>
    <row r="10486" spans="1:2" x14ac:dyDescent="0.25">
      <c r="A10486" s="4">
        <v>10481</v>
      </c>
      <c r="B10486" s="3" t="str">
        <f>"00686915"</f>
        <v>00686915</v>
      </c>
    </row>
    <row r="10487" spans="1:2" x14ac:dyDescent="0.25">
      <c r="A10487" s="4">
        <v>10482</v>
      </c>
      <c r="B10487" s="3" t="str">
        <f>"00686916"</f>
        <v>00686916</v>
      </c>
    </row>
    <row r="10488" spans="1:2" x14ac:dyDescent="0.25">
      <c r="A10488" s="4">
        <v>10483</v>
      </c>
      <c r="B10488" s="3" t="str">
        <f>"00686945"</f>
        <v>00686945</v>
      </c>
    </row>
    <row r="10489" spans="1:2" x14ac:dyDescent="0.25">
      <c r="A10489" s="4">
        <v>10484</v>
      </c>
      <c r="B10489" s="3" t="str">
        <f>"00686949"</f>
        <v>00686949</v>
      </c>
    </row>
    <row r="10490" spans="1:2" x14ac:dyDescent="0.25">
      <c r="A10490" s="4">
        <v>10485</v>
      </c>
      <c r="B10490" s="3" t="str">
        <f>"00686960"</f>
        <v>00686960</v>
      </c>
    </row>
    <row r="10491" spans="1:2" x14ac:dyDescent="0.25">
      <c r="A10491" s="4">
        <v>10486</v>
      </c>
      <c r="B10491" s="3" t="str">
        <f>"00686967"</f>
        <v>00686967</v>
      </c>
    </row>
    <row r="10492" spans="1:2" x14ac:dyDescent="0.25">
      <c r="A10492" s="4">
        <v>10487</v>
      </c>
      <c r="B10492" s="3" t="str">
        <f>"00686976"</f>
        <v>00686976</v>
      </c>
    </row>
    <row r="10493" spans="1:2" x14ac:dyDescent="0.25">
      <c r="A10493" s="4">
        <v>10488</v>
      </c>
      <c r="B10493" s="3" t="str">
        <f>"00686977"</f>
        <v>00686977</v>
      </c>
    </row>
    <row r="10494" spans="1:2" x14ac:dyDescent="0.25">
      <c r="A10494" s="4">
        <v>10489</v>
      </c>
      <c r="B10494" s="3" t="str">
        <f>"00686988"</f>
        <v>00686988</v>
      </c>
    </row>
    <row r="10495" spans="1:2" x14ac:dyDescent="0.25">
      <c r="A10495" s="4">
        <v>10490</v>
      </c>
      <c r="B10495" s="3" t="str">
        <f>"00686993"</f>
        <v>00686993</v>
      </c>
    </row>
    <row r="10496" spans="1:2" x14ac:dyDescent="0.25">
      <c r="A10496" s="4">
        <v>10491</v>
      </c>
      <c r="B10496" s="3" t="str">
        <f>"00687010"</f>
        <v>00687010</v>
      </c>
    </row>
    <row r="10497" spans="1:2" x14ac:dyDescent="0.25">
      <c r="A10497" s="4">
        <v>10492</v>
      </c>
      <c r="B10497" s="3" t="str">
        <f>"00687015"</f>
        <v>00687015</v>
      </c>
    </row>
    <row r="10498" spans="1:2" x14ac:dyDescent="0.25">
      <c r="A10498" s="4">
        <v>10493</v>
      </c>
      <c r="B10498" s="3" t="str">
        <f>"00687025"</f>
        <v>00687025</v>
      </c>
    </row>
    <row r="10499" spans="1:2" x14ac:dyDescent="0.25">
      <c r="A10499" s="4">
        <v>10494</v>
      </c>
      <c r="B10499" s="3" t="str">
        <f>"00687048"</f>
        <v>00687048</v>
      </c>
    </row>
    <row r="10500" spans="1:2" x14ac:dyDescent="0.25">
      <c r="A10500" s="4">
        <v>10495</v>
      </c>
      <c r="B10500" s="3" t="str">
        <f>"00687054"</f>
        <v>00687054</v>
      </c>
    </row>
    <row r="10501" spans="1:2" x14ac:dyDescent="0.25">
      <c r="A10501" s="4">
        <v>10496</v>
      </c>
      <c r="B10501" s="3" t="str">
        <f>"00687074"</f>
        <v>00687074</v>
      </c>
    </row>
    <row r="10502" spans="1:2" x14ac:dyDescent="0.25">
      <c r="A10502" s="4">
        <v>10497</v>
      </c>
      <c r="B10502" s="3" t="str">
        <f>"00687075"</f>
        <v>00687075</v>
      </c>
    </row>
    <row r="10503" spans="1:2" x14ac:dyDescent="0.25">
      <c r="A10503" s="4">
        <v>10498</v>
      </c>
      <c r="B10503" s="3" t="str">
        <f>"00687079"</f>
        <v>00687079</v>
      </c>
    </row>
    <row r="10504" spans="1:2" x14ac:dyDescent="0.25">
      <c r="A10504" s="4">
        <v>10499</v>
      </c>
      <c r="B10504" s="3" t="str">
        <f>"00687084"</f>
        <v>00687084</v>
      </c>
    </row>
    <row r="10505" spans="1:2" x14ac:dyDescent="0.25">
      <c r="A10505" s="4">
        <v>10500</v>
      </c>
      <c r="B10505" s="3" t="str">
        <f>"00687105"</f>
        <v>00687105</v>
      </c>
    </row>
    <row r="10506" spans="1:2" x14ac:dyDescent="0.25">
      <c r="A10506" s="4">
        <v>10501</v>
      </c>
      <c r="B10506" s="3" t="str">
        <f>"00687109"</f>
        <v>00687109</v>
      </c>
    </row>
    <row r="10507" spans="1:2" x14ac:dyDescent="0.25">
      <c r="A10507" s="4">
        <v>10502</v>
      </c>
      <c r="B10507" s="3" t="str">
        <f>"00687116"</f>
        <v>00687116</v>
      </c>
    </row>
    <row r="10508" spans="1:2" x14ac:dyDescent="0.25">
      <c r="A10508" s="4">
        <v>10503</v>
      </c>
      <c r="B10508" s="3" t="str">
        <f>"00687141"</f>
        <v>00687141</v>
      </c>
    </row>
    <row r="10509" spans="1:2" x14ac:dyDescent="0.25">
      <c r="A10509" s="4">
        <v>10504</v>
      </c>
      <c r="B10509" s="3" t="str">
        <f>"00687155"</f>
        <v>00687155</v>
      </c>
    </row>
    <row r="10510" spans="1:2" x14ac:dyDescent="0.25">
      <c r="A10510" s="4">
        <v>10505</v>
      </c>
      <c r="B10510" s="3" t="str">
        <f>"00687157"</f>
        <v>00687157</v>
      </c>
    </row>
    <row r="10511" spans="1:2" x14ac:dyDescent="0.25">
      <c r="A10511" s="4">
        <v>10506</v>
      </c>
      <c r="B10511" s="3" t="str">
        <f>"00687160"</f>
        <v>00687160</v>
      </c>
    </row>
    <row r="10512" spans="1:2" x14ac:dyDescent="0.25">
      <c r="A10512" s="4">
        <v>10507</v>
      </c>
      <c r="B10512" s="3" t="str">
        <f>"00687165"</f>
        <v>00687165</v>
      </c>
    </row>
    <row r="10513" spans="1:2" x14ac:dyDescent="0.25">
      <c r="A10513" s="4">
        <v>10508</v>
      </c>
      <c r="B10513" s="3" t="str">
        <f>"00687168"</f>
        <v>00687168</v>
      </c>
    </row>
    <row r="10514" spans="1:2" x14ac:dyDescent="0.25">
      <c r="A10514" s="4">
        <v>10509</v>
      </c>
      <c r="B10514" s="3" t="str">
        <f>"00687177"</f>
        <v>00687177</v>
      </c>
    </row>
    <row r="10515" spans="1:2" x14ac:dyDescent="0.25">
      <c r="A10515" s="4">
        <v>10510</v>
      </c>
      <c r="B10515" s="3" t="str">
        <f>"00687190"</f>
        <v>00687190</v>
      </c>
    </row>
    <row r="10516" spans="1:2" x14ac:dyDescent="0.25">
      <c r="A10516" s="4">
        <v>10511</v>
      </c>
      <c r="B10516" s="3" t="str">
        <f>"00687200"</f>
        <v>00687200</v>
      </c>
    </row>
    <row r="10517" spans="1:2" x14ac:dyDescent="0.25">
      <c r="A10517" s="4">
        <v>10512</v>
      </c>
      <c r="B10517" s="3" t="str">
        <f>"00687211"</f>
        <v>00687211</v>
      </c>
    </row>
    <row r="10518" spans="1:2" x14ac:dyDescent="0.25">
      <c r="A10518" s="4">
        <v>10513</v>
      </c>
      <c r="B10518" s="3" t="str">
        <f>"00687212"</f>
        <v>00687212</v>
      </c>
    </row>
    <row r="10519" spans="1:2" x14ac:dyDescent="0.25">
      <c r="A10519" s="4">
        <v>10514</v>
      </c>
      <c r="B10519" s="3" t="str">
        <f>"00687225"</f>
        <v>00687225</v>
      </c>
    </row>
    <row r="10520" spans="1:2" x14ac:dyDescent="0.25">
      <c r="A10520" s="4">
        <v>10515</v>
      </c>
      <c r="B10520" s="3" t="str">
        <f>"00687228"</f>
        <v>00687228</v>
      </c>
    </row>
    <row r="10521" spans="1:2" x14ac:dyDescent="0.25">
      <c r="A10521" s="4">
        <v>10516</v>
      </c>
      <c r="B10521" s="3" t="str">
        <f>"00687232"</f>
        <v>00687232</v>
      </c>
    </row>
    <row r="10522" spans="1:2" x14ac:dyDescent="0.25">
      <c r="A10522" s="4">
        <v>10517</v>
      </c>
      <c r="B10522" s="3" t="str">
        <f>"00687239"</f>
        <v>00687239</v>
      </c>
    </row>
    <row r="10523" spans="1:2" x14ac:dyDescent="0.25">
      <c r="A10523" s="4">
        <v>10518</v>
      </c>
      <c r="B10523" s="3" t="str">
        <f>"00687278"</f>
        <v>00687278</v>
      </c>
    </row>
    <row r="10524" spans="1:2" x14ac:dyDescent="0.25">
      <c r="A10524" s="4">
        <v>10519</v>
      </c>
      <c r="B10524" s="3" t="str">
        <f>"00687292"</f>
        <v>00687292</v>
      </c>
    </row>
    <row r="10525" spans="1:2" x14ac:dyDescent="0.25">
      <c r="A10525" s="4">
        <v>10520</v>
      </c>
      <c r="B10525" s="3" t="str">
        <f>"00687294"</f>
        <v>00687294</v>
      </c>
    </row>
    <row r="10526" spans="1:2" x14ac:dyDescent="0.25">
      <c r="A10526" s="4">
        <v>10521</v>
      </c>
      <c r="B10526" s="3" t="str">
        <f>"00687300"</f>
        <v>00687300</v>
      </c>
    </row>
    <row r="10527" spans="1:2" x14ac:dyDescent="0.25">
      <c r="A10527" s="4">
        <v>10522</v>
      </c>
      <c r="B10527" s="3" t="str">
        <f>"00687304"</f>
        <v>00687304</v>
      </c>
    </row>
    <row r="10528" spans="1:2" x14ac:dyDescent="0.25">
      <c r="A10528" s="4">
        <v>10523</v>
      </c>
      <c r="B10528" s="3" t="str">
        <f>"00687306"</f>
        <v>00687306</v>
      </c>
    </row>
    <row r="10529" spans="1:2" x14ac:dyDescent="0.25">
      <c r="A10529" s="4">
        <v>10524</v>
      </c>
      <c r="B10529" s="3" t="str">
        <f>"00687307"</f>
        <v>00687307</v>
      </c>
    </row>
    <row r="10530" spans="1:2" x14ac:dyDescent="0.25">
      <c r="A10530" s="4">
        <v>10525</v>
      </c>
      <c r="B10530" s="3" t="str">
        <f>"00687312"</f>
        <v>00687312</v>
      </c>
    </row>
    <row r="10531" spans="1:2" x14ac:dyDescent="0.25">
      <c r="A10531" s="4">
        <v>10526</v>
      </c>
      <c r="B10531" s="3" t="str">
        <f>"00687316"</f>
        <v>00687316</v>
      </c>
    </row>
    <row r="10532" spans="1:2" x14ac:dyDescent="0.25">
      <c r="A10532" s="4">
        <v>10527</v>
      </c>
      <c r="B10532" s="3" t="str">
        <f>"00687317"</f>
        <v>00687317</v>
      </c>
    </row>
    <row r="10533" spans="1:2" x14ac:dyDescent="0.25">
      <c r="A10533" s="4">
        <v>10528</v>
      </c>
      <c r="B10533" s="3" t="str">
        <f>"00687324"</f>
        <v>00687324</v>
      </c>
    </row>
    <row r="10534" spans="1:2" x14ac:dyDescent="0.25">
      <c r="A10534" s="4">
        <v>10529</v>
      </c>
      <c r="B10534" s="3" t="str">
        <f>"00687327"</f>
        <v>00687327</v>
      </c>
    </row>
    <row r="10535" spans="1:2" x14ac:dyDescent="0.25">
      <c r="A10535" s="4">
        <v>10530</v>
      </c>
      <c r="B10535" s="3" t="str">
        <f>"00687330"</f>
        <v>00687330</v>
      </c>
    </row>
    <row r="10536" spans="1:2" x14ac:dyDescent="0.25">
      <c r="A10536" s="4">
        <v>10531</v>
      </c>
      <c r="B10536" s="3" t="str">
        <f>"00687338"</f>
        <v>00687338</v>
      </c>
    </row>
    <row r="10537" spans="1:2" x14ac:dyDescent="0.25">
      <c r="A10537" s="4">
        <v>10532</v>
      </c>
      <c r="B10537" s="3" t="str">
        <f>"00687342"</f>
        <v>00687342</v>
      </c>
    </row>
    <row r="10538" spans="1:2" x14ac:dyDescent="0.25">
      <c r="A10538" s="4">
        <v>10533</v>
      </c>
      <c r="B10538" s="3" t="str">
        <f>"00687345"</f>
        <v>00687345</v>
      </c>
    </row>
    <row r="10539" spans="1:2" x14ac:dyDescent="0.25">
      <c r="A10539" s="4">
        <v>10534</v>
      </c>
      <c r="B10539" s="3" t="str">
        <f>"00687360"</f>
        <v>00687360</v>
      </c>
    </row>
    <row r="10540" spans="1:2" x14ac:dyDescent="0.25">
      <c r="A10540" s="4">
        <v>10535</v>
      </c>
      <c r="B10540" s="3" t="str">
        <f>"00687361"</f>
        <v>00687361</v>
      </c>
    </row>
    <row r="10541" spans="1:2" x14ac:dyDescent="0.25">
      <c r="A10541" s="4">
        <v>10536</v>
      </c>
      <c r="B10541" s="3" t="str">
        <f>"00687365"</f>
        <v>00687365</v>
      </c>
    </row>
    <row r="10542" spans="1:2" x14ac:dyDescent="0.25">
      <c r="A10542" s="4">
        <v>10537</v>
      </c>
      <c r="B10542" s="3" t="str">
        <f>"00687377"</f>
        <v>00687377</v>
      </c>
    </row>
    <row r="10543" spans="1:2" x14ac:dyDescent="0.25">
      <c r="A10543" s="4">
        <v>10538</v>
      </c>
      <c r="B10543" s="3" t="str">
        <f>"00687385"</f>
        <v>00687385</v>
      </c>
    </row>
    <row r="10544" spans="1:2" x14ac:dyDescent="0.25">
      <c r="A10544" s="4">
        <v>10539</v>
      </c>
      <c r="B10544" s="3" t="str">
        <f>"00687392"</f>
        <v>00687392</v>
      </c>
    </row>
    <row r="10545" spans="1:2" x14ac:dyDescent="0.25">
      <c r="A10545" s="4">
        <v>10540</v>
      </c>
      <c r="B10545" s="3" t="str">
        <f>"00687406"</f>
        <v>00687406</v>
      </c>
    </row>
    <row r="10546" spans="1:2" x14ac:dyDescent="0.25">
      <c r="A10546" s="4">
        <v>10541</v>
      </c>
      <c r="B10546" s="3" t="str">
        <f>"00687407"</f>
        <v>00687407</v>
      </c>
    </row>
    <row r="10547" spans="1:2" x14ac:dyDescent="0.25">
      <c r="A10547" s="4">
        <v>10542</v>
      </c>
      <c r="B10547" s="3" t="str">
        <f>"00687408"</f>
        <v>00687408</v>
      </c>
    </row>
    <row r="10548" spans="1:2" x14ac:dyDescent="0.25">
      <c r="A10548" s="4">
        <v>10543</v>
      </c>
      <c r="B10548" s="3" t="str">
        <f>"00687410"</f>
        <v>00687410</v>
      </c>
    </row>
    <row r="10549" spans="1:2" x14ac:dyDescent="0.25">
      <c r="A10549" s="4">
        <v>10544</v>
      </c>
      <c r="B10549" s="3" t="str">
        <f>"00687412"</f>
        <v>00687412</v>
      </c>
    </row>
    <row r="10550" spans="1:2" x14ac:dyDescent="0.25">
      <c r="A10550" s="4">
        <v>10545</v>
      </c>
      <c r="B10550" s="3" t="str">
        <f>"00687417"</f>
        <v>00687417</v>
      </c>
    </row>
    <row r="10551" spans="1:2" x14ac:dyDescent="0.25">
      <c r="A10551" s="4">
        <v>10546</v>
      </c>
      <c r="B10551" s="3" t="str">
        <f>"00687420"</f>
        <v>00687420</v>
      </c>
    </row>
    <row r="10552" spans="1:2" x14ac:dyDescent="0.25">
      <c r="A10552" s="4">
        <v>10547</v>
      </c>
      <c r="B10552" s="3" t="str">
        <f>"00687421"</f>
        <v>00687421</v>
      </c>
    </row>
    <row r="10553" spans="1:2" x14ac:dyDescent="0.25">
      <c r="A10553" s="4">
        <v>10548</v>
      </c>
      <c r="B10553" s="3" t="str">
        <f>"00687436"</f>
        <v>00687436</v>
      </c>
    </row>
    <row r="10554" spans="1:2" x14ac:dyDescent="0.25">
      <c r="A10554" s="4">
        <v>10549</v>
      </c>
      <c r="B10554" s="3" t="str">
        <f>"00687438"</f>
        <v>00687438</v>
      </c>
    </row>
    <row r="10555" spans="1:2" x14ac:dyDescent="0.25">
      <c r="A10555" s="4">
        <v>10550</v>
      </c>
      <c r="B10555" s="3" t="str">
        <f>"00687441"</f>
        <v>00687441</v>
      </c>
    </row>
    <row r="10556" spans="1:2" x14ac:dyDescent="0.25">
      <c r="A10556" s="4">
        <v>10551</v>
      </c>
      <c r="B10556" s="3" t="str">
        <f>"00687444"</f>
        <v>00687444</v>
      </c>
    </row>
    <row r="10557" spans="1:2" x14ac:dyDescent="0.25">
      <c r="A10557" s="4">
        <v>10552</v>
      </c>
      <c r="B10557" s="3" t="str">
        <f>"00687446"</f>
        <v>00687446</v>
      </c>
    </row>
    <row r="10558" spans="1:2" x14ac:dyDescent="0.25">
      <c r="A10558" s="4">
        <v>10553</v>
      </c>
      <c r="B10558" s="3" t="str">
        <f>"00687448"</f>
        <v>00687448</v>
      </c>
    </row>
    <row r="10559" spans="1:2" x14ac:dyDescent="0.25">
      <c r="A10559" s="4">
        <v>10554</v>
      </c>
      <c r="B10559" s="3" t="str">
        <f>"00687476"</f>
        <v>00687476</v>
      </c>
    </row>
    <row r="10560" spans="1:2" x14ac:dyDescent="0.25">
      <c r="A10560" s="4">
        <v>10555</v>
      </c>
      <c r="B10560" s="3" t="str">
        <f>"00687479"</f>
        <v>00687479</v>
      </c>
    </row>
    <row r="10561" spans="1:2" x14ac:dyDescent="0.25">
      <c r="A10561" s="4">
        <v>10556</v>
      </c>
      <c r="B10561" s="3" t="str">
        <f>"00687481"</f>
        <v>00687481</v>
      </c>
    </row>
    <row r="10562" spans="1:2" x14ac:dyDescent="0.25">
      <c r="A10562" s="4">
        <v>10557</v>
      </c>
      <c r="B10562" s="3" t="str">
        <f>"00687483"</f>
        <v>00687483</v>
      </c>
    </row>
    <row r="10563" spans="1:2" x14ac:dyDescent="0.25">
      <c r="A10563" s="4">
        <v>10558</v>
      </c>
      <c r="B10563" s="3" t="str">
        <f>"00687489"</f>
        <v>00687489</v>
      </c>
    </row>
    <row r="10564" spans="1:2" x14ac:dyDescent="0.25">
      <c r="A10564" s="4">
        <v>10559</v>
      </c>
      <c r="B10564" s="3" t="str">
        <f>"00687512"</f>
        <v>00687512</v>
      </c>
    </row>
    <row r="10565" spans="1:2" x14ac:dyDescent="0.25">
      <c r="A10565" s="4">
        <v>10560</v>
      </c>
      <c r="B10565" s="3" t="str">
        <f>"00687528"</f>
        <v>00687528</v>
      </c>
    </row>
    <row r="10566" spans="1:2" x14ac:dyDescent="0.25">
      <c r="A10566" s="4">
        <v>10561</v>
      </c>
      <c r="B10566" s="3" t="str">
        <f>"00687541"</f>
        <v>00687541</v>
      </c>
    </row>
    <row r="10567" spans="1:2" x14ac:dyDescent="0.25">
      <c r="A10567" s="4">
        <v>10562</v>
      </c>
      <c r="B10567" s="3" t="str">
        <f>"00687550"</f>
        <v>00687550</v>
      </c>
    </row>
    <row r="10568" spans="1:2" x14ac:dyDescent="0.25">
      <c r="A10568" s="4">
        <v>10563</v>
      </c>
      <c r="B10568" s="3" t="str">
        <f>"00687566"</f>
        <v>00687566</v>
      </c>
    </row>
    <row r="10569" spans="1:2" x14ac:dyDescent="0.25">
      <c r="A10569" s="4">
        <v>10564</v>
      </c>
      <c r="B10569" s="3" t="str">
        <f>"00687569"</f>
        <v>00687569</v>
      </c>
    </row>
    <row r="10570" spans="1:2" x14ac:dyDescent="0.25">
      <c r="A10570" s="4">
        <v>10565</v>
      </c>
      <c r="B10570" s="3" t="str">
        <f>"00687571"</f>
        <v>00687571</v>
      </c>
    </row>
    <row r="10571" spans="1:2" x14ac:dyDescent="0.25">
      <c r="A10571" s="4">
        <v>10566</v>
      </c>
      <c r="B10571" s="3" t="str">
        <f>"00687572"</f>
        <v>00687572</v>
      </c>
    </row>
    <row r="10572" spans="1:2" x14ac:dyDescent="0.25">
      <c r="A10572" s="4">
        <v>10567</v>
      </c>
      <c r="B10572" s="3" t="str">
        <f>"00687577"</f>
        <v>00687577</v>
      </c>
    </row>
    <row r="10573" spans="1:2" x14ac:dyDescent="0.25">
      <c r="A10573" s="4">
        <v>10568</v>
      </c>
      <c r="B10573" s="3" t="str">
        <f>"00687590"</f>
        <v>00687590</v>
      </c>
    </row>
    <row r="10574" spans="1:2" x14ac:dyDescent="0.25">
      <c r="A10574" s="4">
        <v>10569</v>
      </c>
      <c r="B10574" s="3" t="str">
        <f>"00687591"</f>
        <v>00687591</v>
      </c>
    </row>
    <row r="10575" spans="1:2" x14ac:dyDescent="0.25">
      <c r="A10575" s="4">
        <v>10570</v>
      </c>
      <c r="B10575" s="3" t="str">
        <f>"00687603"</f>
        <v>00687603</v>
      </c>
    </row>
    <row r="10576" spans="1:2" x14ac:dyDescent="0.25">
      <c r="A10576" s="4">
        <v>10571</v>
      </c>
      <c r="B10576" s="3" t="str">
        <f>"00687615"</f>
        <v>00687615</v>
      </c>
    </row>
    <row r="10577" spans="1:2" x14ac:dyDescent="0.25">
      <c r="A10577" s="4">
        <v>10572</v>
      </c>
      <c r="B10577" s="3" t="str">
        <f>"00687616"</f>
        <v>00687616</v>
      </c>
    </row>
    <row r="10578" spans="1:2" x14ac:dyDescent="0.25">
      <c r="A10578" s="4">
        <v>10573</v>
      </c>
      <c r="B10578" s="3" t="str">
        <f>"00687626"</f>
        <v>00687626</v>
      </c>
    </row>
    <row r="10579" spans="1:2" x14ac:dyDescent="0.25">
      <c r="A10579" s="4">
        <v>10574</v>
      </c>
      <c r="B10579" s="3" t="str">
        <f>"00687630"</f>
        <v>00687630</v>
      </c>
    </row>
    <row r="10580" spans="1:2" x14ac:dyDescent="0.25">
      <c r="A10580" s="4">
        <v>10575</v>
      </c>
      <c r="B10580" s="3" t="str">
        <f>"00687633"</f>
        <v>00687633</v>
      </c>
    </row>
    <row r="10581" spans="1:2" x14ac:dyDescent="0.25">
      <c r="A10581" s="4">
        <v>10576</v>
      </c>
      <c r="B10581" s="3" t="str">
        <f>"00687653"</f>
        <v>00687653</v>
      </c>
    </row>
    <row r="10582" spans="1:2" x14ac:dyDescent="0.25">
      <c r="A10582" s="4">
        <v>10577</v>
      </c>
      <c r="B10582" s="3" t="str">
        <f>"00687675"</f>
        <v>00687675</v>
      </c>
    </row>
    <row r="10583" spans="1:2" x14ac:dyDescent="0.25">
      <c r="A10583" s="4">
        <v>10578</v>
      </c>
      <c r="B10583" s="3" t="str">
        <f>"00687685"</f>
        <v>00687685</v>
      </c>
    </row>
    <row r="10584" spans="1:2" x14ac:dyDescent="0.25">
      <c r="A10584" s="4">
        <v>10579</v>
      </c>
      <c r="B10584" s="3" t="str">
        <f>"00687691"</f>
        <v>00687691</v>
      </c>
    </row>
    <row r="10585" spans="1:2" x14ac:dyDescent="0.25">
      <c r="A10585" s="4">
        <v>10580</v>
      </c>
      <c r="B10585" s="3" t="str">
        <f>"00687702"</f>
        <v>00687702</v>
      </c>
    </row>
    <row r="10586" spans="1:2" x14ac:dyDescent="0.25">
      <c r="A10586" s="4">
        <v>10581</v>
      </c>
      <c r="B10586" s="3" t="str">
        <f>"00687705"</f>
        <v>00687705</v>
      </c>
    </row>
    <row r="10587" spans="1:2" x14ac:dyDescent="0.25">
      <c r="A10587" s="4">
        <v>10582</v>
      </c>
      <c r="B10587" s="3" t="str">
        <f>"00687711"</f>
        <v>00687711</v>
      </c>
    </row>
    <row r="10588" spans="1:2" x14ac:dyDescent="0.25">
      <c r="A10588" s="4">
        <v>10583</v>
      </c>
      <c r="B10588" s="3" t="str">
        <f>"00687729"</f>
        <v>00687729</v>
      </c>
    </row>
    <row r="10589" spans="1:2" x14ac:dyDescent="0.25">
      <c r="A10589" s="4">
        <v>10584</v>
      </c>
      <c r="B10589" s="3" t="str">
        <f>"00687747"</f>
        <v>00687747</v>
      </c>
    </row>
    <row r="10590" spans="1:2" x14ac:dyDescent="0.25">
      <c r="A10590" s="4">
        <v>10585</v>
      </c>
      <c r="B10590" s="3" t="str">
        <f>"00687760"</f>
        <v>00687760</v>
      </c>
    </row>
    <row r="10591" spans="1:2" x14ac:dyDescent="0.25">
      <c r="A10591" s="4">
        <v>10586</v>
      </c>
      <c r="B10591" s="3" t="str">
        <f>"00687770"</f>
        <v>00687770</v>
      </c>
    </row>
    <row r="10592" spans="1:2" x14ac:dyDescent="0.25">
      <c r="A10592" s="4">
        <v>10587</v>
      </c>
      <c r="B10592" s="3" t="str">
        <f>"00687771"</f>
        <v>00687771</v>
      </c>
    </row>
    <row r="10593" spans="1:2" x14ac:dyDescent="0.25">
      <c r="A10593" s="4">
        <v>10588</v>
      </c>
      <c r="B10593" s="3" t="str">
        <f>"00687772"</f>
        <v>00687772</v>
      </c>
    </row>
    <row r="10594" spans="1:2" x14ac:dyDescent="0.25">
      <c r="A10594" s="4">
        <v>10589</v>
      </c>
      <c r="B10594" s="3" t="str">
        <f>"00687776"</f>
        <v>00687776</v>
      </c>
    </row>
    <row r="10595" spans="1:2" x14ac:dyDescent="0.25">
      <c r="A10595" s="4">
        <v>10590</v>
      </c>
      <c r="B10595" s="3" t="str">
        <f>"00687786"</f>
        <v>00687786</v>
      </c>
    </row>
    <row r="10596" spans="1:2" x14ac:dyDescent="0.25">
      <c r="A10596" s="4">
        <v>10591</v>
      </c>
      <c r="B10596" s="3" t="str">
        <f>"00687792"</f>
        <v>00687792</v>
      </c>
    </row>
    <row r="10597" spans="1:2" x14ac:dyDescent="0.25">
      <c r="A10597" s="4">
        <v>10592</v>
      </c>
      <c r="B10597" s="3" t="str">
        <f>"00687801"</f>
        <v>00687801</v>
      </c>
    </row>
    <row r="10598" spans="1:2" x14ac:dyDescent="0.25">
      <c r="A10598" s="4">
        <v>10593</v>
      </c>
      <c r="B10598" s="3" t="str">
        <f>"00687830"</f>
        <v>00687830</v>
      </c>
    </row>
    <row r="10599" spans="1:2" x14ac:dyDescent="0.25">
      <c r="A10599" s="4">
        <v>10594</v>
      </c>
      <c r="B10599" s="3" t="str">
        <f>"00687849"</f>
        <v>00687849</v>
      </c>
    </row>
    <row r="10600" spans="1:2" x14ac:dyDescent="0.25">
      <c r="A10600" s="4">
        <v>10595</v>
      </c>
      <c r="B10600" s="3" t="str">
        <f>"00687860"</f>
        <v>00687860</v>
      </c>
    </row>
    <row r="10601" spans="1:2" x14ac:dyDescent="0.25">
      <c r="A10601" s="4">
        <v>10596</v>
      </c>
      <c r="B10601" s="3" t="str">
        <f>"00687861"</f>
        <v>00687861</v>
      </c>
    </row>
    <row r="10602" spans="1:2" x14ac:dyDescent="0.25">
      <c r="A10602" s="4">
        <v>10597</v>
      </c>
      <c r="B10602" s="3" t="str">
        <f>"00687870"</f>
        <v>00687870</v>
      </c>
    </row>
    <row r="10603" spans="1:2" x14ac:dyDescent="0.25">
      <c r="A10603" s="4">
        <v>10598</v>
      </c>
      <c r="B10603" s="3" t="str">
        <f>"00687872"</f>
        <v>00687872</v>
      </c>
    </row>
    <row r="10604" spans="1:2" x14ac:dyDescent="0.25">
      <c r="A10604" s="4">
        <v>10599</v>
      </c>
      <c r="B10604" s="3" t="str">
        <f>"00687894"</f>
        <v>00687894</v>
      </c>
    </row>
    <row r="10605" spans="1:2" x14ac:dyDescent="0.25">
      <c r="A10605" s="4">
        <v>10600</v>
      </c>
      <c r="B10605" s="3" t="str">
        <f>"00687897"</f>
        <v>00687897</v>
      </c>
    </row>
    <row r="10606" spans="1:2" x14ac:dyDescent="0.25">
      <c r="A10606" s="4">
        <v>10601</v>
      </c>
      <c r="B10606" s="3" t="str">
        <f>"00687898"</f>
        <v>00687898</v>
      </c>
    </row>
    <row r="10607" spans="1:2" x14ac:dyDescent="0.25">
      <c r="A10607" s="4">
        <v>10602</v>
      </c>
      <c r="B10607" s="3" t="str">
        <f>"00687912"</f>
        <v>00687912</v>
      </c>
    </row>
    <row r="10608" spans="1:2" x14ac:dyDescent="0.25">
      <c r="A10608" s="4">
        <v>10603</v>
      </c>
      <c r="B10608" s="3" t="str">
        <f>"00687923"</f>
        <v>00687923</v>
      </c>
    </row>
    <row r="10609" spans="1:2" x14ac:dyDescent="0.25">
      <c r="A10609" s="4">
        <v>10604</v>
      </c>
      <c r="B10609" s="3" t="str">
        <f>"00687924"</f>
        <v>00687924</v>
      </c>
    </row>
    <row r="10610" spans="1:2" x14ac:dyDescent="0.25">
      <c r="A10610" s="4">
        <v>10605</v>
      </c>
      <c r="B10610" s="3" t="str">
        <f>"00687929"</f>
        <v>00687929</v>
      </c>
    </row>
    <row r="10611" spans="1:2" x14ac:dyDescent="0.25">
      <c r="A10611" s="4">
        <v>10606</v>
      </c>
      <c r="B10611" s="3" t="str">
        <f>"00687942"</f>
        <v>00687942</v>
      </c>
    </row>
    <row r="10612" spans="1:2" x14ac:dyDescent="0.25">
      <c r="A10612" s="4">
        <v>10607</v>
      </c>
      <c r="B10612" s="3" t="str">
        <f>"00687952"</f>
        <v>00687952</v>
      </c>
    </row>
    <row r="10613" spans="1:2" x14ac:dyDescent="0.25">
      <c r="A10613" s="4">
        <v>10608</v>
      </c>
      <c r="B10613" s="3" t="str">
        <f>"00687956"</f>
        <v>00687956</v>
      </c>
    </row>
    <row r="10614" spans="1:2" x14ac:dyDescent="0.25">
      <c r="A10614" s="4">
        <v>10609</v>
      </c>
      <c r="B10614" s="3" t="str">
        <f>"00687961"</f>
        <v>00687961</v>
      </c>
    </row>
    <row r="10615" spans="1:2" x14ac:dyDescent="0.25">
      <c r="A10615" s="4">
        <v>10610</v>
      </c>
      <c r="B10615" s="3" t="str">
        <f>"00687985"</f>
        <v>00687985</v>
      </c>
    </row>
    <row r="10616" spans="1:2" x14ac:dyDescent="0.25">
      <c r="A10616" s="4">
        <v>10611</v>
      </c>
      <c r="B10616" s="3" t="str">
        <f>"00687990"</f>
        <v>00687990</v>
      </c>
    </row>
    <row r="10617" spans="1:2" x14ac:dyDescent="0.25">
      <c r="A10617" s="4">
        <v>10612</v>
      </c>
      <c r="B10617" s="3" t="str">
        <f>"00688003"</f>
        <v>00688003</v>
      </c>
    </row>
    <row r="10618" spans="1:2" x14ac:dyDescent="0.25">
      <c r="A10618" s="4">
        <v>10613</v>
      </c>
      <c r="B10618" s="3" t="str">
        <f>"00688027"</f>
        <v>00688027</v>
      </c>
    </row>
    <row r="10619" spans="1:2" x14ac:dyDescent="0.25">
      <c r="A10619" s="4">
        <v>10614</v>
      </c>
      <c r="B10619" s="3" t="str">
        <f>"00688030"</f>
        <v>00688030</v>
      </c>
    </row>
    <row r="10620" spans="1:2" x14ac:dyDescent="0.25">
      <c r="A10620" s="4">
        <v>10615</v>
      </c>
      <c r="B10620" s="3" t="str">
        <f>"00688033"</f>
        <v>00688033</v>
      </c>
    </row>
    <row r="10621" spans="1:2" x14ac:dyDescent="0.25">
      <c r="A10621" s="4">
        <v>10616</v>
      </c>
      <c r="B10621" s="3" t="str">
        <f>"00688057"</f>
        <v>00688057</v>
      </c>
    </row>
    <row r="10622" spans="1:2" x14ac:dyDescent="0.25">
      <c r="A10622" s="4">
        <v>10617</v>
      </c>
      <c r="B10622" s="3" t="str">
        <f>"00688058"</f>
        <v>00688058</v>
      </c>
    </row>
    <row r="10623" spans="1:2" x14ac:dyDescent="0.25">
      <c r="A10623" s="4">
        <v>10618</v>
      </c>
      <c r="B10623" s="3" t="str">
        <f>"00688065"</f>
        <v>00688065</v>
      </c>
    </row>
    <row r="10624" spans="1:2" x14ac:dyDescent="0.25">
      <c r="A10624" s="4">
        <v>10619</v>
      </c>
      <c r="B10624" s="3" t="str">
        <f>"00688067"</f>
        <v>00688067</v>
      </c>
    </row>
    <row r="10625" spans="1:2" x14ac:dyDescent="0.25">
      <c r="A10625" s="4">
        <v>10620</v>
      </c>
      <c r="B10625" s="3" t="str">
        <f>"00688084"</f>
        <v>00688084</v>
      </c>
    </row>
    <row r="10626" spans="1:2" x14ac:dyDescent="0.25">
      <c r="A10626" s="4">
        <v>10621</v>
      </c>
      <c r="B10626" s="3" t="str">
        <f>"00688088"</f>
        <v>00688088</v>
      </c>
    </row>
    <row r="10627" spans="1:2" x14ac:dyDescent="0.25">
      <c r="A10627" s="4">
        <v>10622</v>
      </c>
      <c r="B10627" s="3" t="str">
        <f>"00688097"</f>
        <v>00688097</v>
      </c>
    </row>
    <row r="10628" spans="1:2" x14ac:dyDescent="0.25">
      <c r="A10628" s="4">
        <v>10623</v>
      </c>
      <c r="B10628" s="3" t="str">
        <f>"00688100"</f>
        <v>00688100</v>
      </c>
    </row>
    <row r="10629" spans="1:2" x14ac:dyDescent="0.25">
      <c r="A10629" s="4">
        <v>10624</v>
      </c>
      <c r="B10629" s="3" t="str">
        <f>"00688104"</f>
        <v>00688104</v>
      </c>
    </row>
    <row r="10630" spans="1:2" x14ac:dyDescent="0.25">
      <c r="A10630" s="4">
        <v>10625</v>
      </c>
      <c r="B10630" s="3" t="str">
        <f>"00688107"</f>
        <v>00688107</v>
      </c>
    </row>
    <row r="10631" spans="1:2" x14ac:dyDescent="0.25">
      <c r="A10631" s="4">
        <v>10626</v>
      </c>
      <c r="B10631" s="3" t="str">
        <f>"00688110"</f>
        <v>00688110</v>
      </c>
    </row>
    <row r="10632" spans="1:2" x14ac:dyDescent="0.25">
      <c r="A10632" s="4">
        <v>10627</v>
      </c>
      <c r="B10632" s="3" t="str">
        <f>"00688125"</f>
        <v>00688125</v>
      </c>
    </row>
    <row r="10633" spans="1:2" x14ac:dyDescent="0.25">
      <c r="A10633" s="4">
        <v>10628</v>
      </c>
      <c r="B10633" s="3" t="str">
        <f>"00688135"</f>
        <v>00688135</v>
      </c>
    </row>
    <row r="10634" spans="1:2" x14ac:dyDescent="0.25">
      <c r="A10634" s="4">
        <v>10629</v>
      </c>
      <c r="B10634" s="3" t="str">
        <f>"00688138"</f>
        <v>00688138</v>
      </c>
    </row>
    <row r="10635" spans="1:2" x14ac:dyDescent="0.25">
      <c r="A10635" s="4">
        <v>10630</v>
      </c>
      <c r="B10635" s="3" t="str">
        <f>"00688143"</f>
        <v>00688143</v>
      </c>
    </row>
    <row r="10636" spans="1:2" x14ac:dyDescent="0.25">
      <c r="A10636" s="4">
        <v>10631</v>
      </c>
      <c r="B10636" s="3" t="str">
        <f>"00688147"</f>
        <v>00688147</v>
      </c>
    </row>
    <row r="10637" spans="1:2" x14ac:dyDescent="0.25">
      <c r="A10637" s="4">
        <v>10632</v>
      </c>
      <c r="B10637" s="3" t="str">
        <f>"00688153"</f>
        <v>00688153</v>
      </c>
    </row>
    <row r="10638" spans="1:2" x14ac:dyDescent="0.25">
      <c r="A10638" s="4">
        <v>10633</v>
      </c>
      <c r="B10638" s="3" t="str">
        <f>"00688158"</f>
        <v>00688158</v>
      </c>
    </row>
    <row r="10639" spans="1:2" x14ac:dyDescent="0.25">
      <c r="A10639" s="4">
        <v>10634</v>
      </c>
      <c r="B10639" s="3" t="str">
        <f>"00688164"</f>
        <v>00688164</v>
      </c>
    </row>
    <row r="10640" spans="1:2" x14ac:dyDescent="0.25">
      <c r="A10640" s="4">
        <v>10635</v>
      </c>
      <c r="B10640" s="3" t="str">
        <f>"00688173"</f>
        <v>00688173</v>
      </c>
    </row>
    <row r="10641" spans="1:2" x14ac:dyDescent="0.25">
      <c r="A10641" s="4">
        <v>10636</v>
      </c>
      <c r="B10641" s="3" t="str">
        <f>"00688184"</f>
        <v>00688184</v>
      </c>
    </row>
    <row r="10642" spans="1:2" x14ac:dyDescent="0.25">
      <c r="A10642" s="4">
        <v>10637</v>
      </c>
      <c r="B10642" s="3" t="str">
        <f>"00688188"</f>
        <v>00688188</v>
      </c>
    </row>
    <row r="10643" spans="1:2" x14ac:dyDescent="0.25">
      <c r="A10643" s="4">
        <v>10638</v>
      </c>
      <c r="B10643" s="3" t="str">
        <f>"00688193"</f>
        <v>00688193</v>
      </c>
    </row>
    <row r="10644" spans="1:2" x14ac:dyDescent="0.25">
      <c r="A10644" s="4">
        <v>10639</v>
      </c>
      <c r="B10644" s="3" t="str">
        <f>"00688194"</f>
        <v>00688194</v>
      </c>
    </row>
    <row r="10645" spans="1:2" x14ac:dyDescent="0.25">
      <c r="A10645" s="4">
        <v>10640</v>
      </c>
      <c r="B10645" s="3" t="str">
        <f>"00688195"</f>
        <v>00688195</v>
      </c>
    </row>
    <row r="10646" spans="1:2" x14ac:dyDescent="0.25">
      <c r="A10646" s="4">
        <v>10641</v>
      </c>
      <c r="B10646" s="3" t="str">
        <f>"00688203"</f>
        <v>00688203</v>
      </c>
    </row>
    <row r="10647" spans="1:2" x14ac:dyDescent="0.25">
      <c r="A10647" s="4">
        <v>10642</v>
      </c>
      <c r="B10647" s="3" t="str">
        <f>"00688205"</f>
        <v>00688205</v>
      </c>
    </row>
    <row r="10648" spans="1:2" x14ac:dyDescent="0.25">
      <c r="A10648" s="4">
        <v>10643</v>
      </c>
      <c r="B10648" s="3" t="str">
        <f>"00688207"</f>
        <v>00688207</v>
      </c>
    </row>
    <row r="10649" spans="1:2" x14ac:dyDescent="0.25">
      <c r="A10649" s="4">
        <v>10644</v>
      </c>
      <c r="B10649" s="3" t="str">
        <f>"00688208"</f>
        <v>00688208</v>
      </c>
    </row>
    <row r="10650" spans="1:2" x14ac:dyDescent="0.25">
      <c r="A10650" s="4">
        <v>10645</v>
      </c>
      <c r="B10650" s="3" t="str">
        <f>"00688209"</f>
        <v>00688209</v>
      </c>
    </row>
    <row r="10651" spans="1:2" x14ac:dyDescent="0.25">
      <c r="A10651" s="4">
        <v>10646</v>
      </c>
      <c r="B10651" s="3" t="str">
        <f>"00688213"</f>
        <v>00688213</v>
      </c>
    </row>
    <row r="10652" spans="1:2" x14ac:dyDescent="0.25">
      <c r="A10652" s="4">
        <v>10647</v>
      </c>
      <c r="B10652" s="3" t="str">
        <f>"00688214"</f>
        <v>00688214</v>
      </c>
    </row>
    <row r="10653" spans="1:2" x14ac:dyDescent="0.25">
      <c r="A10653" s="4">
        <v>10648</v>
      </c>
      <c r="B10653" s="3" t="str">
        <f>"00688227"</f>
        <v>00688227</v>
      </c>
    </row>
    <row r="10654" spans="1:2" x14ac:dyDescent="0.25">
      <c r="A10654" s="4">
        <v>10649</v>
      </c>
      <c r="B10654" s="3" t="str">
        <f>"00688239"</f>
        <v>00688239</v>
      </c>
    </row>
    <row r="10655" spans="1:2" x14ac:dyDescent="0.25">
      <c r="A10655" s="4">
        <v>10650</v>
      </c>
      <c r="B10655" s="3" t="str">
        <f>"00688240"</f>
        <v>00688240</v>
      </c>
    </row>
    <row r="10656" spans="1:2" x14ac:dyDescent="0.25">
      <c r="A10656" s="4">
        <v>10651</v>
      </c>
      <c r="B10656" s="3" t="str">
        <f>"00688262"</f>
        <v>00688262</v>
      </c>
    </row>
    <row r="10657" spans="1:2" x14ac:dyDescent="0.25">
      <c r="A10657" s="4">
        <v>10652</v>
      </c>
      <c r="B10657" s="3" t="str">
        <f>"00688271"</f>
        <v>00688271</v>
      </c>
    </row>
    <row r="10658" spans="1:2" x14ac:dyDescent="0.25">
      <c r="A10658" s="4">
        <v>10653</v>
      </c>
      <c r="B10658" s="3" t="str">
        <f>"00688272"</f>
        <v>00688272</v>
      </c>
    </row>
    <row r="10659" spans="1:2" x14ac:dyDescent="0.25">
      <c r="A10659" s="4">
        <v>10654</v>
      </c>
      <c r="B10659" s="3" t="str">
        <f>"00688286"</f>
        <v>00688286</v>
      </c>
    </row>
    <row r="10660" spans="1:2" x14ac:dyDescent="0.25">
      <c r="A10660" s="4">
        <v>10655</v>
      </c>
      <c r="B10660" s="3" t="str">
        <f>"00688290"</f>
        <v>00688290</v>
      </c>
    </row>
    <row r="10661" spans="1:2" x14ac:dyDescent="0.25">
      <c r="A10661" s="4">
        <v>10656</v>
      </c>
      <c r="B10661" s="3" t="str">
        <f>"00688292"</f>
        <v>00688292</v>
      </c>
    </row>
    <row r="10662" spans="1:2" x14ac:dyDescent="0.25">
      <c r="A10662" s="4">
        <v>10657</v>
      </c>
      <c r="B10662" s="3" t="str">
        <f>"00688295"</f>
        <v>00688295</v>
      </c>
    </row>
    <row r="10663" spans="1:2" x14ac:dyDescent="0.25">
      <c r="A10663" s="4">
        <v>10658</v>
      </c>
      <c r="B10663" s="3" t="str">
        <f>"00688296"</f>
        <v>00688296</v>
      </c>
    </row>
    <row r="10664" spans="1:2" x14ac:dyDescent="0.25">
      <c r="A10664" s="4">
        <v>10659</v>
      </c>
      <c r="B10664" s="3" t="str">
        <f>"00688308"</f>
        <v>00688308</v>
      </c>
    </row>
    <row r="10665" spans="1:2" x14ac:dyDescent="0.25">
      <c r="A10665" s="4">
        <v>10660</v>
      </c>
      <c r="B10665" s="3" t="str">
        <f>"00688312"</f>
        <v>00688312</v>
      </c>
    </row>
    <row r="10666" spans="1:2" x14ac:dyDescent="0.25">
      <c r="A10666" s="4">
        <v>10661</v>
      </c>
      <c r="B10666" s="3" t="str">
        <f>"00688314"</f>
        <v>00688314</v>
      </c>
    </row>
    <row r="10667" spans="1:2" x14ac:dyDescent="0.25">
      <c r="A10667" s="4">
        <v>10662</v>
      </c>
      <c r="B10667" s="3" t="str">
        <f>"00688316"</f>
        <v>00688316</v>
      </c>
    </row>
    <row r="10668" spans="1:2" x14ac:dyDescent="0.25">
      <c r="A10668" s="4">
        <v>10663</v>
      </c>
      <c r="B10668" s="3" t="str">
        <f>"00688347"</f>
        <v>00688347</v>
      </c>
    </row>
    <row r="10669" spans="1:2" x14ac:dyDescent="0.25">
      <c r="A10669" s="4">
        <v>10664</v>
      </c>
      <c r="B10669" s="3" t="str">
        <f>"00688348"</f>
        <v>00688348</v>
      </c>
    </row>
    <row r="10670" spans="1:2" x14ac:dyDescent="0.25">
      <c r="A10670" s="4">
        <v>10665</v>
      </c>
      <c r="B10670" s="3" t="str">
        <f>"00688350"</f>
        <v>00688350</v>
      </c>
    </row>
    <row r="10671" spans="1:2" x14ac:dyDescent="0.25">
      <c r="A10671" s="4">
        <v>10666</v>
      </c>
      <c r="B10671" s="3" t="str">
        <f>"00688355"</f>
        <v>00688355</v>
      </c>
    </row>
    <row r="10672" spans="1:2" x14ac:dyDescent="0.25">
      <c r="A10672" s="4">
        <v>10667</v>
      </c>
      <c r="B10672" s="3" t="str">
        <f>"00688359"</f>
        <v>00688359</v>
      </c>
    </row>
    <row r="10673" spans="1:2" x14ac:dyDescent="0.25">
      <c r="A10673" s="4">
        <v>10668</v>
      </c>
      <c r="B10673" s="3" t="str">
        <f>"00688367"</f>
        <v>00688367</v>
      </c>
    </row>
    <row r="10674" spans="1:2" x14ac:dyDescent="0.25">
      <c r="A10674" s="4">
        <v>10669</v>
      </c>
      <c r="B10674" s="3" t="str">
        <f>"00688373"</f>
        <v>00688373</v>
      </c>
    </row>
    <row r="10675" spans="1:2" x14ac:dyDescent="0.25">
      <c r="A10675" s="4">
        <v>10670</v>
      </c>
      <c r="B10675" s="3" t="str">
        <f>"00688379"</f>
        <v>00688379</v>
      </c>
    </row>
    <row r="10676" spans="1:2" x14ac:dyDescent="0.25">
      <c r="A10676" s="4">
        <v>10671</v>
      </c>
      <c r="B10676" s="3" t="str">
        <f>"00688381"</f>
        <v>00688381</v>
      </c>
    </row>
    <row r="10677" spans="1:2" x14ac:dyDescent="0.25">
      <c r="A10677" s="4">
        <v>10672</v>
      </c>
      <c r="B10677" s="3" t="str">
        <f>"00688384"</f>
        <v>00688384</v>
      </c>
    </row>
    <row r="10678" spans="1:2" x14ac:dyDescent="0.25">
      <c r="A10678" s="4">
        <v>10673</v>
      </c>
      <c r="B10678" s="3" t="str">
        <f>"00688385"</f>
        <v>00688385</v>
      </c>
    </row>
    <row r="10679" spans="1:2" x14ac:dyDescent="0.25">
      <c r="A10679" s="4">
        <v>10674</v>
      </c>
      <c r="B10679" s="3" t="str">
        <f>"00688387"</f>
        <v>00688387</v>
      </c>
    </row>
    <row r="10680" spans="1:2" x14ac:dyDescent="0.25">
      <c r="A10680" s="4">
        <v>10675</v>
      </c>
      <c r="B10680" s="3" t="str">
        <f>"00688393"</f>
        <v>00688393</v>
      </c>
    </row>
    <row r="10681" spans="1:2" x14ac:dyDescent="0.25">
      <c r="A10681" s="4">
        <v>10676</v>
      </c>
      <c r="B10681" s="3" t="str">
        <f>"00688400"</f>
        <v>00688400</v>
      </c>
    </row>
    <row r="10682" spans="1:2" x14ac:dyDescent="0.25">
      <c r="A10682" s="4">
        <v>10677</v>
      </c>
      <c r="B10682" s="3" t="str">
        <f>"00688406"</f>
        <v>00688406</v>
      </c>
    </row>
    <row r="10683" spans="1:2" x14ac:dyDescent="0.25">
      <c r="A10683" s="4">
        <v>10678</v>
      </c>
      <c r="B10683" s="3" t="str">
        <f>"00688412"</f>
        <v>00688412</v>
      </c>
    </row>
    <row r="10684" spans="1:2" x14ac:dyDescent="0.25">
      <c r="A10684" s="4">
        <v>10679</v>
      </c>
      <c r="B10684" s="3" t="str">
        <f>"00688413"</f>
        <v>00688413</v>
      </c>
    </row>
    <row r="10685" spans="1:2" x14ac:dyDescent="0.25">
      <c r="A10685" s="4">
        <v>10680</v>
      </c>
      <c r="B10685" s="3" t="str">
        <f>"00688425"</f>
        <v>00688425</v>
      </c>
    </row>
    <row r="10686" spans="1:2" x14ac:dyDescent="0.25">
      <c r="A10686" s="4">
        <v>10681</v>
      </c>
      <c r="B10686" s="3" t="str">
        <f>"00688433"</f>
        <v>00688433</v>
      </c>
    </row>
    <row r="10687" spans="1:2" x14ac:dyDescent="0.25">
      <c r="A10687" s="4">
        <v>10682</v>
      </c>
      <c r="B10687" s="3" t="str">
        <f>"00688435"</f>
        <v>00688435</v>
      </c>
    </row>
    <row r="10688" spans="1:2" x14ac:dyDescent="0.25">
      <c r="A10688" s="4">
        <v>10683</v>
      </c>
      <c r="B10688" s="3" t="str">
        <f>"00688444"</f>
        <v>00688444</v>
      </c>
    </row>
    <row r="10689" spans="1:2" x14ac:dyDescent="0.25">
      <c r="A10689" s="4">
        <v>10684</v>
      </c>
      <c r="B10689" s="3" t="str">
        <f>"00688448"</f>
        <v>00688448</v>
      </c>
    </row>
    <row r="10690" spans="1:2" x14ac:dyDescent="0.25">
      <c r="A10690" s="4">
        <v>10685</v>
      </c>
      <c r="B10690" s="3" t="str">
        <f>"00688451"</f>
        <v>00688451</v>
      </c>
    </row>
    <row r="10691" spans="1:2" x14ac:dyDescent="0.25">
      <c r="A10691" s="4">
        <v>10686</v>
      </c>
      <c r="B10691" s="3" t="str">
        <f>"00688452"</f>
        <v>00688452</v>
      </c>
    </row>
    <row r="10692" spans="1:2" x14ac:dyDescent="0.25">
      <c r="A10692" s="4">
        <v>10687</v>
      </c>
      <c r="B10692" s="3" t="str">
        <f>"00688461"</f>
        <v>00688461</v>
      </c>
    </row>
    <row r="10693" spans="1:2" x14ac:dyDescent="0.25">
      <c r="A10693" s="4">
        <v>10688</v>
      </c>
      <c r="B10693" s="3" t="str">
        <f>"00688463"</f>
        <v>00688463</v>
      </c>
    </row>
    <row r="10694" spans="1:2" x14ac:dyDescent="0.25">
      <c r="A10694" s="4">
        <v>10689</v>
      </c>
      <c r="B10694" s="3" t="str">
        <f>"00688471"</f>
        <v>00688471</v>
      </c>
    </row>
    <row r="10695" spans="1:2" x14ac:dyDescent="0.25">
      <c r="A10695" s="4">
        <v>10690</v>
      </c>
      <c r="B10695" s="3" t="str">
        <f>"00688488"</f>
        <v>00688488</v>
      </c>
    </row>
    <row r="10696" spans="1:2" x14ac:dyDescent="0.25">
      <c r="A10696" s="4">
        <v>10691</v>
      </c>
      <c r="B10696" s="3" t="str">
        <f>"00688489"</f>
        <v>00688489</v>
      </c>
    </row>
    <row r="10697" spans="1:2" x14ac:dyDescent="0.25">
      <c r="A10697" s="4">
        <v>10692</v>
      </c>
      <c r="B10697" s="3" t="str">
        <f>"00688490"</f>
        <v>00688490</v>
      </c>
    </row>
    <row r="10698" spans="1:2" x14ac:dyDescent="0.25">
      <c r="A10698" s="4">
        <v>10693</v>
      </c>
      <c r="B10698" s="3" t="str">
        <f>"00688496"</f>
        <v>00688496</v>
      </c>
    </row>
    <row r="10699" spans="1:2" x14ac:dyDescent="0.25">
      <c r="A10699" s="4">
        <v>10694</v>
      </c>
      <c r="B10699" s="3" t="str">
        <f>"00688498"</f>
        <v>00688498</v>
      </c>
    </row>
    <row r="10700" spans="1:2" x14ac:dyDescent="0.25">
      <c r="A10700" s="4">
        <v>10695</v>
      </c>
      <c r="B10700" s="3" t="str">
        <f>"00688522"</f>
        <v>00688522</v>
      </c>
    </row>
    <row r="10701" spans="1:2" x14ac:dyDescent="0.25">
      <c r="A10701" s="4">
        <v>10696</v>
      </c>
      <c r="B10701" s="3" t="str">
        <f>"00688523"</f>
        <v>00688523</v>
      </c>
    </row>
    <row r="10702" spans="1:2" x14ac:dyDescent="0.25">
      <c r="A10702" s="4">
        <v>10697</v>
      </c>
      <c r="B10702" s="3" t="str">
        <f>"00688537"</f>
        <v>00688537</v>
      </c>
    </row>
    <row r="10703" spans="1:2" x14ac:dyDescent="0.25">
      <c r="A10703" s="4">
        <v>10698</v>
      </c>
      <c r="B10703" s="3" t="str">
        <f>"00688539"</f>
        <v>00688539</v>
      </c>
    </row>
    <row r="10704" spans="1:2" x14ac:dyDescent="0.25">
      <c r="A10704" s="4">
        <v>10699</v>
      </c>
      <c r="B10704" s="3" t="str">
        <f>"00688553"</f>
        <v>00688553</v>
      </c>
    </row>
    <row r="10705" spans="1:2" x14ac:dyDescent="0.25">
      <c r="A10705" s="4">
        <v>10700</v>
      </c>
      <c r="B10705" s="3" t="str">
        <f>"00688554"</f>
        <v>00688554</v>
      </c>
    </row>
    <row r="10706" spans="1:2" x14ac:dyDescent="0.25">
      <c r="A10706" s="4">
        <v>10701</v>
      </c>
      <c r="B10706" s="3" t="str">
        <f>"00688555"</f>
        <v>00688555</v>
      </c>
    </row>
    <row r="10707" spans="1:2" x14ac:dyDescent="0.25">
      <c r="A10707" s="4">
        <v>10702</v>
      </c>
      <c r="B10707" s="3" t="str">
        <f>"00688567"</f>
        <v>00688567</v>
      </c>
    </row>
    <row r="10708" spans="1:2" x14ac:dyDescent="0.25">
      <c r="A10708" s="4">
        <v>10703</v>
      </c>
      <c r="B10708" s="3" t="str">
        <f>"00688588"</f>
        <v>00688588</v>
      </c>
    </row>
    <row r="10709" spans="1:2" x14ac:dyDescent="0.25">
      <c r="A10709" s="4">
        <v>10704</v>
      </c>
      <c r="B10709" s="3" t="str">
        <f>"00688602"</f>
        <v>00688602</v>
      </c>
    </row>
    <row r="10710" spans="1:2" x14ac:dyDescent="0.25">
      <c r="A10710" s="4">
        <v>10705</v>
      </c>
      <c r="B10710" s="3" t="str">
        <f>"00688608"</f>
        <v>00688608</v>
      </c>
    </row>
    <row r="10711" spans="1:2" x14ac:dyDescent="0.25">
      <c r="A10711" s="4">
        <v>10706</v>
      </c>
      <c r="B10711" s="3" t="str">
        <f>"00688610"</f>
        <v>00688610</v>
      </c>
    </row>
    <row r="10712" spans="1:2" x14ac:dyDescent="0.25">
      <c r="A10712" s="4">
        <v>10707</v>
      </c>
      <c r="B10712" s="3" t="str">
        <f>"00688619"</f>
        <v>00688619</v>
      </c>
    </row>
    <row r="10713" spans="1:2" x14ac:dyDescent="0.25">
      <c r="A10713" s="4">
        <v>10708</v>
      </c>
      <c r="B10713" s="3" t="str">
        <f>"00688626"</f>
        <v>00688626</v>
      </c>
    </row>
    <row r="10714" spans="1:2" x14ac:dyDescent="0.25">
      <c r="A10714" s="4">
        <v>10709</v>
      </c>
      <c r="B10714" s="3" t="str">
        <f>"00688630"</f>
        <v>00688630</v>
      </c>
    </row>
    <row r="10715" spans="1:2" x14ac:dyDescent="0.25">
      <c r="A10715" s="4">
        <v>10710</v>
      </c>
      <c r="B10715" s="3" t="str">
        <f>"00688631"</f>
        <v>00688631</v>
      </c>
    </row>
    <row r="10716" spans="1:2" x14ac:dyDescent="0.25">
      <c r="A10716" s="4">
        <v>10711</v>
      </c>
      <c r="B10716" s="3" t="str">
        <f>"00688657"</f>
        <v>00688657</v>
      </c>
    </row>
    <row r="10717" spans="1:2" x14ac:dyDescent="0.25">
      <c r="A10717" s="4">
        <v>10712</v>
      </c>
      <c r="B10717" s="3" t="str">
        <f>"00688660"</f>
        <v>00688660</v>
      </c>
    </row>
    <row r="10718" spans="1:2" x14ac:dyDescent="0.25">
      <c r="A10718" s="4">
        <v>10713</v>
      </c>
      <c r="B10718" s="3" t="str">
        <f>"00688664"</f>
        <v>00688664</v>
      </c>
    </row>
    <row r="10719" spans="1:2" x14ac:dyDescent="0.25">
      <c r="A10719" s="4">
        <v>10714</v>
      </c>
      <c r="B10719" s="3" t="str">
        <f>"00688674"</f>
        <v>00688674</v>
      </c>
    </row>
    <row r="10720" spans="1:2" x14ac:dyDescent="0.25">
      <c r="A10720" s="4">
        <v>10715</v>
      </c>
      <c r="B10720" s="3" t="str">
        <f>"00688679"</f>
        <v>00688679</v>
      </c>
    </row>
    <row r="10721" spans="1:2" x14ac:dyDescent="0.25">
      <c r="A10721" s="4">
        <v>10716</v>
      </c>
      <c r="B10721" s="3" t="str">
        <f>"00688682"</f>
        <v>00688682</v>
      </c>
    </row>
    <row r="10722" spans="1:2" x14ac:dyDescent="0.25">
      <c r="A10722" s="4">
        <v>10717</v>
      </c>
      <c r="B10722" s="3" t="str">
        <f>"00688685"</f>
        <v>00688685</v>
      </c>
    </row>
    <row r="10723" spans="1:2" x14ac:dyDescent="0.25">
      <c r="A10723" s="4">
        <v>10718</v>
      </c>
      <c r="B10723" s="3" t="str">
        <f>"00688687"</f>
        <v>00688687</v>
      </c>
    </row>
    <row r="10724" spans="1:2" x14ac:dyDescent="0.25">
      <c r="A10724" s="4">
        <v>10719</v>
      </c>
      <c r="B10724" s="3" t="str">
        <f>"00688693"</f>
        <v>00688693</v>
      </c>
    </row>
    <row r="10725" spans="1:2" x14ac:dyDescent="0.25">
      <c r="A10725" s="4">
        <v>10720</v>
      </c>
      <c r="B10725" s="3" t="str">
        <f>"00688699"</f>
        <v>00688699</v>
      </c>
    </row>
    <row r="10726" spans="1:2" x14ac:dyDescent="0.25">
      <c r="A10726" s="4">
        <v>10721</v>
      </c>
      <c r="B10726" s="3" t="str">
        <f>"00688700"</f>
        <v>00688700</v>
      </c>
    </row>
    <row r="10727" spans="1:2" x14ac:dyDescent="0.25">
      <c r="A10727" s="4">
        <v>10722</v>
      </c>
      <c r="B10727" s="3" t="str">
        <f>"00688701"</f>
        <v>00688701</v>
      </c>
    </row>
    <row r="10728" spans="1:2" x14ac:dyDescent="0.25">
      <c r="A10728" s="4">
        <v>10723</v>
      </c>
      <c r="B10728" s="3" t="str">
        <f>"00688710"</f>
        <v>00688710</v>
      </c>
    </row>
    <row r="10729" spans="1:2" x14ac:dyDescent="0.25">
      <c r="A10729" s="4">
        <v>10724</v>
      </c>
      <c r="B10729" s="3" t="str">
        <f>"00688714"</f>
        <v>00688714</v>
      </c>
    </row>
    <row r="10730" spans="1:2" x14ac:dyDescent="0.25">
      <c r="A10730" s="4">
        <v>10725</v>
      </c>
      <c r="B10730" s="3" t="str">
        <f>"00688719"</f>
        <v>00688719</v>
      </c>
    </row>
    <row r="10731" spans="1:2" x14ac:dyDescent="0.25">
      <c r="A10731" s="4">
        <v>10726</v>
      </c>
      <c r="B10731" s="3" t="str">
        <f>"00688720"</f>
        <v>00688720</v>
      </c>
    </row>
    <row r="10732" spans="1:2" x14ac:dyDescent="0.25">
      <c r="A10732" s="4">
        <v>10727</v>
      </c>
      <c r="B10732" s="3" t="str">
        <f>"00688728"</f>
        <v>00688728</v>
      </c>
    </row>
    <row r="10733" spans="1:2" x14ac:dyDescent="0.25">
      <c r="A10733" s="4">
        <v>10728</v>
      </c>
      <c r="B10733" s="3" t="str">
        <f>"00688740"</f>
        <v>00688740</v>
      </c>
    </row>
    <row r="10734" spans="1:2" x14ac:dyDescent="0.25">
      <c r="A10734" s="4">
        <v>10729</v>
      </c>
      <c r="B10734" s="3" t="str">
        <f>"00688741"</f>
        <v>00688741</v>
      </c>
    </row>
    <row r="10735" spans="1:2" x14ac:dyDescent="0.25">
      <c r="A10735" s="4">
        <v>10730</v>
      </c>
      <c r="B10735" s="3" t="str">
        <f>"00688749"</f>
        <v>00688749</v>
      </c>
    </row>
    <row r="10736" spans="1:2" x14ac:dyDescent="0.25">
      <c r="A10736" s="4">
        <v>10731</v>
      </c>
      <c r="B10736" s="3" t="str">
        <f>"00688770"</f>
        <v>00688770</v>
      </c>
    </row>
    <row r="10737" spans="1:2" x14ac:dyDescent="0.25">
      <c r="A10737" s="4">
        <v>10732</v>
      </c>
      <c r="B10737" s="3" t="str">
        <f>"00688771"</f>
        <v>00688771</v>
      </c>
    </row>
    <row r="10738" spans="1:2" x14ac:dyDescent="0.25">
      <c r="A10738" s="4">
        <v>10733</v>
      </c>
      <c r="B10738" s="3" t="str">
        <f>"00688789"</f>
        <v>00688789</v>
      </c>
    </row>
    <row r="10739" spans="1:2" x14ac:dyDescent="0.25">
      <c r="A10739" s="4">
        <v>10734</v>
      </c>
      <c r="B10739" s="3" t="str">
        <f>"00688796"</f>
        <v>00688796</v>
      </c>
    </row>
    <row r="10740" spans="1:2" x14ac:dyDescent="0.25">
      <c r="A10740" s="4">
        <v>10735</v>
      </c>
      <c r="B10740" s="3" t="str">
        <f>"00688798"</f>
        <v>00688798</v>
      </c>
    </row>
    <row r="10741" spans="1:2" x14ac:dyDescent="0.25">
      <c r="A10741" s="4">
        <v>10736</v>
      </c>
      <c r="B10741" s="3" t="str">
        <f>"00688800"</f>
        <v>00688800</v>
      </c>
    </row>
    <row r="10742" spans="1:2" x14ac:dyDescent="0.25">
      <c r="A10742" s="4">
        <v>10737</v>
      </c>
      <c r="B10742" s="3" t="str">
        <f>"00688805"</f>
        <v>00688805</v>
      </c>
    </row>
    <row r="10743" spans="1:2" x14ac:dyDescent="0.25">
      <c r="A10743" s="4">
        <v>10738</v>
      </c>
      <c r="B10743" s="3" t="str">
        <f>"00688819"</f>
        <v>00688819</v>
      </c>
    </row>
    <row r="10744" spans="1:2" x14ac:dyDescent="0.25">
      <c r="A10744" s="4">
        <v>10739</v>
      </c>
      <c r="B10744" s="3" t="str">
        <f>"00688832"</f>
        <v>00688832</v>
      </c>
    </row>
    <row r="10745" spans="1:2" x14ac:dyDescent="0.25">
      <c r="A10745" s="4">
        <v>10740</v>
      </c>
      <c r="B10745" s="3" t="str">
        <f>"00688837"</f>
        <v>00688837</v>
      </c>
    </row>
    <row r="10746" spans="1:2" x14ac:dyDescent="0.25">
      <c r="A10746" s="4">
        <v>10741</v>
      </c>
      <c r="B10746" s="3" t="str">
        <f>"00688841"</f>
        <v>00688841</v>
      </c>
    </row>
    <row r="10747" spans="1:2" x14ac:dyDescent="0.25">
      <c r="A10747" s="4">
        <v>10742</v>
      </c>
      <c r="B10747" s="3" t="str">
        <f>"00688842"</f>
        <v>00688842</v>
      </c>
    </row>
    <row r="10748" spans="1:2" x14ac:dyDescent="0.25">
      <c r="A10748" s="4">
        <v>10743</v>
      </c>
      <c r="B10748" s="3" t="str">
        <f>"00688850"</f>
        <v>00688850</v>
      </c>
    </row>
    <row r="10749" spans="1:2" x14ac:dyDescent="0.25">
      <c r="A10749" s="4">
        <v>10744</v>
      </c>
      <c r="B10749" s="3" t="str">
        <f>"00688859"</f>
        <v>00688859</v>
      </c>
    </row>
    <row r="10750" spans="1:2" x14ac:dyDescent="0.25">
      <c r="A10750" s="4">
        <v>10745</v>
      </c>
      <c r="B10750" s="3" t="str">
        <f>"00688869"</f>
        <v>00688869</v>
      </c>
    </row>
    <row r="10751" spans="1:2" x14ac:dyDescent="0.25">
      <c r="A10751" s="4">
        <v>10746</v>
      </c>
      <c r="B10751" s="3" t="str">
        <f>"00688875"</f>
        <v>00688875</v>
      </c>
    </row>
    <row r="10752" spans="1:2" x14ac:dyDescent="0.25">
      <c r="A10752" s="4">
        <v>10747</v>
      </c>
      <c r="B10752" s="3" t="str">
        <f>"00688880"</f>
        <v>00688880</v>
      </c>
    </row>
    <row r="10753" spans="1:2" x14ac:dyDescent="0.25">
      <c r="A10753" s="4">
        <v>10748</v>
      </c>
      <c r="B10753" s="3" t="str">
        <f>"00688881"</f>
        <v>00688881</v>
      </c>
    </row>
    <row r="10754" spans="1:2" x14ac:dyDescent="0.25">
      <c r="A10754" s="4">
        <v>10749</v>
      </c>
      <c r="B10754" s="3" t="str">
        <f>"00688886"</f>
        <v>00688886</v>
      </c>
    </row>
    <row r="10755" spans="1:2" x14ac:dyDescent="0.25">
      <c r="A10755" s="4">
        <v>10750</v>
      </c>
      <c r="B10755" s="3" t="str">
        <f>"00688890"</f>
        <v>00688890</v>
      </c>
    </row>
    <row r="10756" spans="1:2" x14ac:dyDescent="0.25">
      <c r="A10756" s="4">
        <v>10751</v>
      </c>
      <c r="B10756" s="3" t="str">
        <f>"00688895"</f>
        <v>00688895</v>
      </c>
    </row>
    <row r="10757" spans="1:2" x14ac:dyDescent="0.25">
      <c r="A10757" s="4">
        <v>10752</v>
      </c>
      <c r="B10757" s="3" t="str">
        <f>"00688898"</f>
        <v>00688898</v>
      </c>
    </row>
    <row r="10758" spans="1:2" x14ac:dyDescent="0.25">
      <c r="A10758" s="4">
        <v>10753</v>
      </c>
      <c r="B10758" s="3" t="str">
        <f>"00688905"</f>
        <v>00688905</v>
      </c>
    </row>
    <row r="10759" spans="1:2" x14ac:dyDescent="0.25">
      <c r="A10759" s="4">
        <v>10754</v>
      </c>
      <c r="B10759" s="3" t="str">
        <f>"00688907"</f>
        <v>00688907</v>
      </c>
    </row>
    <row r="10760" spans="1:2" x14ac:dyDescent="0.25">
      <c r="A10760" s="4">
        <v>10755</v>
      </c>
      <c r="B10760" s="3" t="str">
        <f>"00688909"</f>
        <v>00688909</v>
      </c>
    </row>
    <row r="10761" spans="1:2" x14ac:dyDescent="0.25">
      <c r="A10761" s="4">
        <v>10756</v>
      </c>
      <c r="B10761" s="3" t="str">
        <f>"00688912"</f>
        <v>00688912</v>
      </c>
    </row>
    <row r="10762" spans="1:2" x14ac:dyDescent="0.25">
      <c r="A10762" s="4">
        <v>10757</v>
      </c>
      <c r="B10762" s="3" t="str">
        <f>"00688913"</f>
        <v>00688913</v>
      </c>
    </row>
    <row r="10763" spans="1:2" x14ac:dyDescent="0.25">
      <c r="A10763" s="4">
        <v>10758</v>
      </c>
      <c r="B10763" s="3" t="str">
        <f>"00688918"</f>
        <v>00688918</v>
      </c>
    </row>
    <row r="10764" spans="1:2" x14ac:dyDescent="0.25">
      <c r="A10764" s="4">
        <v>10759</v>
      </c>
      <c r="B10764" s="3" t="str">
        <f>"00688930"</f>
        <v>00688930</v>
      </c>
    </row>
    <row r="10765" spans="1:2" x14ac:dyDescent="0.25">
      <c r="A10765" s="4">
        <v>10760</v>
      </c>
      <c r="B10765" s="3" t="str">
        <f>"00688933"</f>
        <v>00688933</v>
      </c>
    </row>
    <row r="10766" spans="1:2" x14ac:dyDescent="0.25">
      <c r="A10766" s="4">
        <v>10761</v>
      </c>
      <c r="B10766" s="3" t="str">
        <f>"00688937"</f>
        <v>00688937</v>
      </c>
    </row>
    <row r="10767" spans="1:2" x14ac:dyDescent="0.25">
      <c r="A10767" s="4">
        <v>10762</v>
      </c>
      <c r="B10767" s="3" t="str">
        <f>"00688941"</f>
        <v>00688941</v>
      </c>
    </row>
    <row r="10768" spans="1:2" x14ac:dyDescent="0.25">
      <c r="A10768" s="4">
        <v>10763</v>
      </c>
      <c r="B10768" s="3" t="str">
        <f>"00688943"</f>
        <v>00688943</v>
      </c>
    </row>
    <row r="10769" spans="1:2" x14ac:dyDescent="0.25">
      <c r="A10769" s="4">
        <v>10764</v>
      </c>
      <c r="B10769" s="3" t="str">
        <f>"00688951"</f>
        <v>00688951</v>
      </c>
    </row>
    <row r="10770" spans="1:2" x14ac:dyDescent="0.25">
      <c r="A10770" s="4">
        <v>10765</v>
      </c>
      <c r="B10770" s="3" t="str">
        <f>"00688952"</f>
        <v>00688952</v>
      </c>
    </row>
    <row r="10771" spans="1:2" x14ac:dyDescent="0.25">
      <c r="A10771" s="4">
        <v>10766</v>
      </c>
      <c r="B10771" s="3" t="str">
        <f>"00688958"</f>
        <v>00688958</v>
      </c>
    </row>
    <row r="10772" spans="1:2" x14ac:dyDescent="0.25">
      <c r="A10772" s="4">
        <v>10767</v>
      </c>
      <c r="B10772" s="3" t="str">
        <f>"00688960"</f>
        <v>00688960</v>
      </c>
    </row>
    <row r="10773" spans="1:2" x14ac:dyDescent="0.25">
      <c r="A10773" s="4">
        <v>10768</v>
      </c>
      <c r="B10773" s="3" t="str">
        <f>"00688963"</f>
        <v>00688963</v>
      </c>
    </row>
    <row r="10774" spans="1:2" x14ac:dyDescent="0.25">
      <c r="A10774" s="4">
        <v>10769</v>
      </c>
      <c r="B10774" s="3" t="str">
        <f>"00688965"</f>
        <v>00688965</v>
      </c>
    </row>
    <row r="10775" spans="1:2" x14ac:dyDescent="0.25">
      <c r="A10775" s="4">
        <v>10770</v>
      </c>
      <c r="B10775" s="3" t="str">
        <f>"00688975"</f>
        <v>00688975</v>
      </c>
    </row>
    <row r="10776" spans="1:2" x14ac:dyDescent="0.25">
      <c r="A10776" s="4">
        <v>10771</v>
      </c>
      <c r="B10776" s="3" t="str">
        <f>"00688976"</f>
        <v>00688976</v>
      </c>
    </row>
    <row r="10777" spans="1:2" x14ac:dyDescent="0.25">
      <c r="A10777" s="4">
        <v>10772</v>
      </c>
      <c r="B10777" s="3" t="str">
        <f>"00688985"</f>
        <v>00688985</v>
      </c>
    </row>
    <row r="10778" spans="1:2" x14ac:dyDescent="0.25">
      <c r="A10778" s="4">
        <v>10773</v>
      </c>
      <c r="B10778" s="3" t="str">
        <f>"00688986"</f>
        <v>00688986</v>
      </c>
    </row>
    <row r="10779" spans="1:2" x14ac:dyDescent="0.25">
      <c r="A10779" s="4">
        <v>10774</v>
      </c>
      <c r="B10779" s="3" t="str">
        <f>"00688988"</f>
        <v>00688988</v>
      </c>
    </row>
    <row r="10780" spans="1:2" x14ac:dyDescent="0.25">
      <c r="A10780" s="4">
        <v>10775</v>
      </c>
      <c r="B10780" s="3" t="str">
        <f>"00688992"</f>
        <v>00688992</v>
      </c>
    </row>
    <row r="10781" spans="1:2" x14ac:dyDescent="0.25">
      <c r="A10781" s="4">
        <v>10776</v>
      </c>
      <c r="B10781" s="3" t="str">
        <f>"00688997"</f>
        <v>00688997</v>
      </c>
    </row>
    <row r="10782" spans="1:2" x14ac:dyDescent="0.25">
      <c r="A10782" s="4">
        <v>10777</v>
      </c>
      <c r="B10782" s="3" t="str">
        <f>"00688999"</f>
        <v>00688999</v>
      </c>
    </row>
    <row r="10783" spans="1:2" x14ac:dyDescent="0.25">
      <c r="A10783" s="4">
        <v>10778</v>
      </c>
      <c r="B10783" s="3" t="str">
        <f>"00689001"</f>
        <v>00689001</v>
      </c>
    </row>
    <row r="10784" spans="1:2" x14ac:dyDescent="0.25">
      <c r="A10784" s="4">
        <v>10779</v>
      </c>
      <c r="B10784" s="3" t="str">
        <f>"00689004"</f>
        <v>00689004</v>
      </c>
    </row>
    <row r="10785" spans="1:2" x14ac:dyDescent="0.25">
      <c r="A10785" s="4">
        <v>10780</v>
      </c>
      <c r="B10785" s="3" t="str">
        <f>"00689006"</f>
        <v>00689006</v>
      </c>
    </row>
    <row r="10786" spans="1:2" x14ac:dyDescent="0.25">
      <c r="A10786" s="4">
        <v>10781</v>
      </c>
      <c r="B10786" s="3" t="str">
        <f>"00689007"</f>
        <v>00689007</v>
      </c>
    </row>
    <row r="10787" spans="1:2" x14ac:dyDescent="0.25">
      <c r="A10787" s="4">
        <v>10782</v>
      </c>
      <c r="B10787" s="3" t="str">
        <f>"00689015"</f>
        <v>00689015</v>
      </c>
    </row>
    <row r="10788" spans="1:2" x14ac:dyDescent="0.25">
      <c r="A10788" s="4">
        <v>10783</v>
      </c>
      <c r="B10788" s="3" t="str">
        <f>"00689023"</f>
        <v>00689023</v>
      </c>
    </row>
    <row r="10789" spans="1:2" x14ac:dyDescent="0.25">
      <c r="A10789" s="4">
        <v>10784</v>
      </c>
      <c r="B10789" s="3" t="str">
        <f>"00689039"</f>
        <v>00689039</v>
      </c>
    </row>
    <row r="10790" spans="1:2" x14ac:dyDescent="0.25">
      <c r="A10790" s="4">
        <v>10785</v>
      </c>
      <c r="B10790" s="3" t="str">
        <f>"00689044"</f>
        <v>00689044</v>
      </c>
    </row>
    <row r="10791" spans="1:2" x14ac:dyDescent="0.25">
      <c r="A10791" s="4">
        <v>10786</v>
      </c>
      <c r="B10791" s="3" t="str">
        <f>"00689047"</f>
        <v>00689047</v>
      </c>
    </row>
    <row r="10792" spans="1:2" x14ac:dyDescent="0.25">
      <c r="A10792" s="4">
        <v>10787</v>
      </c>
      <c r="B10792" s="3" t="str">
        <f>"00689060"</f>
        <v>00689060</v>
      </c>
    </row>
    <row r="10793" spans="1:2" x14ac:dyDescent="0.25">
      <c r="A10793" s="4">
        <v>10788</v>
      </c>
      <c r="B10793" s="3" t="str">
        <f>"00689063"</f>
        <v>00689063</v>
      </c>
    </row>
    <row r="10794" spans="1:2" x14ac:dyDescent="0.25">
      <c r="A10794" s="4">
        <v>10789</v>
      </c>
      <c r="B10794" s="3" t="str">
        <f>"00689066"</f>
        <v>00689066</v>
      </c>
    </row>
    <row r="10795" spans="1:2" x14ac:dyDescent="0.25">
      <c r="A10795" s="4">
        <v>10790</v>
      </c>
      <c r="B10795" s="3" t="str">
        <f>"00689068"</f>
        <v>00689068</v>
      </c>
    </row>
    <row r="10796" spans="1:2" x14ac:dyDescent="0.25">
      <c r="A10796" s="4">
        <v>10791</v>
      </c>
      <c r="B10796" s="3" t="str">
        <f>"00689072"</f>
        <v>00689072</v>
      </c>
    </row>
    <row r="10797" spans="1:2" x14ac:dyDescent="0.25">
      <c r="A10797" s="4">
        <v>10792</v>
      </c>
      <c r="B10797" s="3" t="str">
        <f>"00689076"</f>
        <v>00689076</v>
      </c>
    </row>
    <row r="10798" spans="1:2" x14ac:dyDescent="0.25">
      <c r="A10798" s="4">
        <v>10793</v>
      </c>
      <c r="B10798" s="3" t="str">
        <f>"00689077"</f>
        <v>00689077</v>
      </c>
    </row>
    <row r="10799" spans="1:2" x14ac:dyDescent="0.25">
      <c r="A10799" s="4">
        <v>10794</v>
      </c>
      <c r="B10799" s="3" t="str">
        <f>"00689087"</f>
        <v>00689087</v>
      </c>
    </row>
    <row r="10800" spans="1:2" x14ac:dyDescent="0.25">
      <c r="A10800" s="4">
        <v>10795</v>
      </c>
      <c r="B10800" s="3" t="str">
        <f>"00689093"</f>
        <v>00689093</v>
      </c>
    </row>
    <row r="10801" spans="1:2" x14ac:dyDescent="0.25">
      <c r="A10801" s="4">
        <v>10796</v>
      </c>
      <c r="B10801" s="3" t="str">
        <f>"00689117"</f>
        <v>00689117</v>
      </c>
    </row>
    <row r="10802" spans="1:2" x14ac:dyDescent="0.25">
      <c r="A10802" s="4">
        <v>10797</v>
      </c>
      <c r="B10802" s="3" t="str">
        <f>"00689134"</f>
        <v>00689134</v>
      </c>
    </row>
    <row r="10803" spans="1:2" x14ac:dyDescent="0.25">
      <c r="A10803" s="4">
        <v>10798</v>
      </c>
      <c r="B10803" s="3" t="str">
        <f>"00689135"</f>
        <v>00689135</v>
      </c>
    </row>
    <row r="10804" spans="1:2" x14ac:dyDescent="0.25">
      <c r="A10804" s="4">
        <v>10799</v>
      </c>
      <c r="B10804" s="3" t="str">
        <f>"00689139"</f>
        <v>00689139</v>
      </c>
    </row>
    <row r="10805" spans="1:2" x14ac:dyDescent="0.25">
      <c r="A10805" s="4">
        <v>10800</v>
      </c>
      <c r="B10805" s="3" t="str">
        <f>"00689152"</f>
        <v>00689152</v>
      </c>
    </row>
    <row r="10806" spans="1:2" x14ac:dyDescent="0.25">
      <c r="A10806" s="4">
        <v>10801</v>
      </c>
      <c r="B10806" s="3" t="str">
        <f>"00689153"</f>
        <v>00689153</v>
      </c>
    </row>
    <row r="10807" spans="1:2" x14ac:dyDescent="0.25">
      <c r="A10807" s="4">
        <v>10802</v>
      </c>
      <c r="B10807" s="3" t="str">
        <f>"00689158"</f>
        <v>00689158</v>
      </c>
    </row>
    <row r="10808" spans="1:2" x14ac:dyDescent="0.25">
      <c r="A10808" s="4">
        <v>10803</v>
      </c>
      <c r="B10808" s="3" t="str">
        <f>"00689166"</f>
        <v>00689166</v>
      </c>
    </row>
    <row r="10809" spans="1:2" x14ac:dyDescent="0.25">
      <c r="A10809" s="4">
        <v>10804</v>
      </c>
      <c r="B10809" s="3" t="str">
        <f>"00689173"</f>
        <v>00689173</v>
      </c>
    </row>
    <row r="10810" spans="1:2" x14ac:dyDescent="0.25">
      <c r="A10810" s="4">
        <v>10805</v>
      </c>
      <c r="B10810" s="3" t="str">
        <f>"00689174"</f>
        <v>00689174</v>
      </c>
    </row>
    <row r="10811" spans="1:2" x14ac:dyDescent="0.25">
      <c r="A10811" s="4">
        <v>10806</v>
      </c>
      <c r="B10811" s="3" t="str">
        <f>"00689180"</f>
        <v>00689180</v>
      </c>
    </row>
    <row r="10812" spans="1:2" x14ac:dyDescent="0.25">
      <c r="A10812" s="4">
        <v>10807</v>
      </c>
      <c r="B10812" s="3" t="str">
        <f>"00689189"</f>
        <v>00689189</v>
      </c>
    </row>
    <row r="10813" spans="1:2" x14ac:dyDescent="0.25">
      <c r="A10813" s="4">
        <v>10808</v>
      </c>
      <c r="B10813" s="3" t="str">
        <f>"00689192"</f>
        <v>00689192</v>
      </c>
    </row>
    <row r="10814" spans="1:2" x14ac:dyDescent="0.25">
      <c r="A10814" s="4">
        <v>10809</v>
      </c>
      <c r="B10814" s="3" t="str">
        <f>"00689207"</f>
        <v>00689207</v>
      </c>
    </row>
    <row r="10815" spans="1:2" x14ac:dyDescent="0.25">
      <c r="A10815" s="4">
        <v>10810</v>
      </c>
      <c r="B10815" s="3" t="str">
        <f>"00689210"</f>
        <v>00689210</v>
      </c>
    </row>
    <row r="10816" spans="1:2" x14ac:dyDescent="0.25">
      <c r="A10816" s="4">
        <v>10811</v>
      </c>
      <c r="B10816" s="3" t="str">
        <f>"00689213"</f>
        <v>00689213</v>
      </c>
    </row>
    <row r="10817" spans="1:2" x14ac:dyDescent="0.25">
      <c r="A10817" s="4">
        <v>10812</v>
      </c>
      <c r="B10817" s="3" t="str">
        <f>"00689215"</f>
        <v>00689215</v>
      </c>
    </row>
    <row r="10818" spans="1:2" x14ac:dyDescent="0.25">
      <c r="A10818" s="4">
        <v>10813</v>
      </c>
      <c r="B10818" s="3" t="str">
        <f>"00689225"</f>
        <v>00689225</v>
      </c>
    </row>
    <row r="10819" spans="1:2" x14ac:dyDescent="0.25">
      <c r="A10819" s="4">
        <v>10814</v>
      </c>
      <c r="B10819" s="3" t="str">
        <f>"00689243"</f>
        <v>00689243</v>
      </c>
    </row>
    <row r="10820" spans="1:2" x14ac:dyDescent="0.25">
      <c r="A10820" s="4">
        <v>10815</v>
      </c>
      <c r="B10820" s="3" t="str">
        <f>"00689261"</f>
        <v>00689261</v>
      </c>
    </row>
    <row r="10821" spans="1:2" x14ac:dyDescent="0.25">
      <c r="A10821" s="4">
        <v>10816</v>
      </c>
      <c r="B10821" s="3" t="str">
        <f>"00689265"</f>
        <v>00689265</v>
      </c>
    </row>
    <row r="10822" spans="1:2" x14ac:dyDescent="0.25">
      <c r="A10822" s="4">
        <v>10817</v>
      </c>
      <c r="B10822" s="3" t="str">
        <f>"00689272"</f>
        <v>00689272</v>
      </c>
    </row>
    <row r="10823" spans="1:2" x14ac:dyDescent="0.25">
      <c r="A10823" s="4">
        <v>10818</v>
      </c>
      <c r="B10823" s="3" t="str">
        <f>"00689275"</f>
        <v>00689275</v>
      </c>
    </row>
    <row r="10824" spans="1:2" x14ac:dyDescent="0.25">
      <c r="A10824" s="4">
        <v>10819</v>
      </c>
      <c r="B10824" s="3" t="str">
        <f>"00689284"</f>
        <v>00689284</v>
      </c>
    </row>
    <row r="10825" spans="1:2" x14ac:dyDescent="0.25">
      <c r="A10825" s="4">
        <v>10820</v>
      </c>
      <c r="B10825" s="3" t="str">
        <f>"00689308"</f>
        <v>00689308</v>
      </c>
    </row>
    <row r="10826" spans="1:2" x14ac:dyDescent="0.25">
      <c r="A10826" s="4">
        <v>10821</v>
      </c>
      <c r="B10826" s="3" t="str">
        <f>"00689312"</f>
        <v>00689312</v>
      </c>
    </row>
    <row r="10827" spans="1:2" x14ac:dyDescent="0.25">
      <c r="A10827" s="4">
        <v>10822</v>
      </c>
      <c r="B10827" s="3" t="str">
        <f>"00689314"</f>
        <v>00689314</v>
      </c>
    </row>
    <row r="10828" spans="1:2" x14ac:dyDescent="0.25">
      <c r="A10828" s="4">
        <v>10823</v>
      </c>
      <c r="B10828" s="3" t="str">
        <f>"00689315"</f>
        <v>00689315</v>
      </c>
    </row>
    <row r="10829" spans="1:2" x14ac:dyDescent="0.25">
      <c r="A10829" s="4">
        <v>10824</v>
      </c>
      <c r="B10829" s="3" t="str">
        <f>"00689322"</f>
        <v>00689322</v>
      </c>
    </row>
    <row r="10830" spans="1:2" x14ac:dyDescent="0.25">
      <c r="A10830" s="4">
        <v>10825</v>
      </c>
      <c r="B10830" s="3" t="str">
        <f>"00689340"</f>
        <v>00689340</v>
      </c>
    </row>
    <row r="10831" spans="1:2" x14ac:dyDescent="0.25">
      <c r="A10831" s="4">
        <v>10826</v>
      </c>
      <c r="B10831" s="3" t="str">
        <f>"00689342"</f>
        <v>00689342</v>
      </c>
    </row>
    <row r="10832" spans="1:2" x14ac:dyDescent="0.25">
      <c r="A10832" s="4">
        <v>10827</v>
      </c>
      <c r="B10832" s="3" t="str">
        <f>"00689346"</f>
        <v>00689346</v>
      </c>
    </row>
    <row r="10833" spans="1:2" x14ac:dyDescent="0.25">
      <c r="A10833" s="4">
        <v>10828</v>
      </c>
      <c r="B10833" s="3" t="str">
        <f>"00689352"</f>
        <v>00689352</v>
      </c>
    </row>
    <row r="10834" spans="1:2" x14ac:dyDescent="0.25">
      <c r="A10834" s="4">
        <v>10829</v>
      </c>
      <c r="B10834" s="3" t="str">
        <f>"00689361"</f>
        <v>00689361</v>
      </c>
    </row>
    <row r="10835" spans="1:2" x14ac:dyDescent="0.25">
      <c r="A10835" s="4">
        <v>10830</v>
      </c>
      <c r="B10835" s="3" t="str">
        <f>"00689370"</f>
        <v>00689370</v>
      </c>
    </row>
    <row r="10836" spans="1:2" x14ac:dyDescent="0.25">
      <c r="A10836" s="4">
        <v>10831</v>
      </c>
      <c r="B10836" s="3" t="str">
        <f>"00689372"</f>
        <v>00689372</v>
      </c>
    </row>
    <row r="10837" spans="1:2" x14ac:dyDescent="0.25">
      <c r="A10837" s="4">
        <v>10832</v>
      </c>
      <c r="B10837" s="3" t="str">
        <f>"00689375"</f>
        <v>00689375</v>
      </c>
    </row>
    <row r="10838" spans="1:2" x14ac:dyDescent="0.25">
      <c r="A10838" s="4">
        <v>10833</v>
      </c>
      <c r="B10838" s="3" t="str">
        <f>"00689388"</f>
        <v>00689388</v>
      </c>
    </row>
    <row r="10839" spans="1:2" x14ac:dyDescent="0.25">
      <c r="A10839" s="4">
        <v>10834</v>
      </c>
      <c r="B10839" s="3" t="str">
        <f>"00689401"</f>
        <v>00689401</v>
      </c>
    </row>
    <row r="10840" spans="1:2" x14ac:dyDescent="0.25">
      <c r="A10840" s="4">
        <v>10835</v>
      </c>
      <c r="B10840" s="3" t="str">
        <f>"00689414"</f>
        <v>00689414</v>
      </c>
    </row>
    <row r="10841" spans="1:2" x14ac:dyDescent="0.25">
      <c r="A10841" s="4">
        <v>10836</v>
      </c>
      <c r="B10841" s="3" t="str">
        <f>"00689420"</f>
        <v>00689420</v>
      </c>
    </row>
    <row r="10842" spans="1:2" x14ac:dyDescent="0.25">
      <c r="A10842" s="4">
        <v>10837</v>
      </c>
      <c r="B10842" s="3" t="str">
        <f>"00689440"</f>
        <v>00689440</v>
      </c>
    </row>
    <row r="10843" spans="1:2" x14ac:dyDescent="0.25">
      <c r="A10843" s="4">
        <v>10838</v>
      </c>
      <c r="B10843" s="3" t="str">
        <f>"00689442"</f>
        <v>00689442</v>
      </c>
    </row>
    <row r="10844" spans="1:2" x14ac:dyDescent="0.25">
      <c r="A10844" s="4">
        <v>10839</v>
      </c>
      <c r="B10844" s="3" t="str">
        <f>"00689448"</f>
        <v>00689448</v>
      </c>
    </row>
    <row r="10845" spans="1:2" x14ac:dyDescent="0.25">
      <c r="A10845" s="4">
        <v>10840</v>
      </c>
      <c r="B10845" s="3" t="str">
        <f>"00689462"</f>
        <v>00689462</v>
      </c>
    </row>
    <row r="10846" spans="1:2" x14ac:dyDescent="0.25">
      <c r="A10846" s="4">
        <v>10841</v>
      </c>
      <c r="B10846" s="3" t="str">
        <f>"00689466"</f>
        <v>00689466</v>
      </c>
    </row>
    <row r="10847" spans="1:2" x14ac:dyDescent="0.25">
      <c r="A10847" s="4">
        <v>10842</v>
      </c>
      <c r="B10847" s="3" t="str">
        <f>"00689472"</f>
        <v>00689472</v>
      </c>
    </row>
    <row r="10848" spans="1:2" x14ac:dyDescent="0.25">
      <c r="A10848" s="4">
        <v>10843</v>
      </c>
      <c r="B10848" s="3" t="str">
        <f>"00689476"</f>
        <v>00689476</v>
      </c>
    </row>
    <row r="10849" spans="1:2" x14ac:dyDescent="0.25">
      <c r="A10849" s="4">
        <v>10844</v>
      </c>
      <c r="B10849" s="3" t="str">
        <f>"00689477"</f>
        <v>00689477</v>
      </c>
    </row>
    <row r="10850" spans="1:2" x14ac:dyDescent="0.25">
      <c r="A10850" s="4">
        <v>10845</v>
      </c>
      <c r="B10850" s="3" t="str">
        <f>"00689481"</f>
        <v>00689481</v>
      </c>
    </row>
    <row r="10851" spans="1:2" x14ac:dyDescent="0.25">
      <c r="A10851" s="4">
        <v>10846</v>
      </c>
      <c r="B10851" s="3" t="str">
        <f>"00689492"</f>
        <v>00689492</v>
      </c>
    </row>
    <row r="10852" spans="1:2" x14ac:dyDescent="0.25">
      <c r="A10852" s="4">
        <v>10847</v>
      </c>
      <c r="B10852" s="3" t="str">
        <f>"00689511"</f>
        <v>00689511</v>
      </c>
    </row>
    <row r="10853" spans="1:2" x14ac:dyDescent="0.25">
      <c r="A10853" s="4">
        <v>10848</v>
      </c>
      <c r="B10853" s="3" t="str">
        <f>"00689521"</f>
        <v>00689521</v>
      </c>
    </row>
    <row r="10854" spans="1:2" x14ac:dyDescent="0.25">
      <c r="A10854" s="4">
        <v>10849</v>
      </c>
      <c r="B10854" s="3" t="str">
        <f>"00689527"</f>
        <v>00689527</v>
      </c>
    </row>
    <row r="10855" spans="1:2" x14ac:dyDescent="0.25">
      <c r="A10855" s="4">
        <v>10850</v>
      </c>
      <c r="B10855" s="3" t="str">
        <f>"00689540"</f>
        <v>00689540</v>
      </c>
    </row>
    <row r="10856" spans="1:2" x14ac:dyDescent="0.25">
      <c r="A10856" s="4">
        <v>10851</v>
      </c>
      <c r="B10856" s="3" t="str">
        <f>"00689554"</f>
        <v>00689554</v>
      </c>
    </row>
    <row r="10857" spans="1:2" x14ac:dyDescent="0.25">
      <c r="A10857" s="4">
        <v>10852</v>
      </c>
      <c r="B10857" s="3" t="str">
        <f>"00689555"</f>
        <v>00689555</v>
      </c>
    </row>
    <row r="10858" spans="1:2" x14ac:dyDescent="0.25">
      <c r="A10858" s="4">
        <v>10853</v>
      </c>
      <c r="B10858" s="3" t="str">
        <f>"00689560"</f>
        <v>00689560</v>
      </c>
    </row>
    <row r="10859" spans="1:2" x14ac:dyDescent="0.25">
      <c r="A10859" s="4">
        <v>10854</v>
      </c>
      <c r="B10859" s="3" t="str">
        <f>"00689561"</f>
        <v>00689561</v>
      </c>
    </row>
    <row r="10860" spans="1:2" x14ac:dyDescent="0.25">
      <c r="A10860" s="4">
        <v>10855</v>
      </c>
      <c r="B10860" s="3" t="str">
        <f>"00689565"</f>
        <v>00689565</v>
      </c>
    </row>
    <row r="10861" spans="1:2" x14ac:dyDescent="0.25">
      <c r="A10861" s="4">
        <v>10856</v>
      </c>
      <c r="B10861" s="3" t="str">
        <f>"00689567"</f>
        <v>00689567</v>
      </c>
    </row>
    <row r="10862" spans="1:2" x14ac:dyDescent="0.25">
      <c r="A10862" s="4">
        <v>10857</v>
      </c>
      <c r="B10862" s="3" t="str">
        <f>"00689569"</f>
        <v>00689569</v>
      </c>
    </row>
    <row r="10863" spans="1:2" x14ac:dyDescent="0.25">
      <c r="A10863" s="4">
        <v>10858</v>
      </c>
      <c r="B10863" s="3" t="str">
        <f>"00689574"</f>
        <v>00689574</v>
      </c>
    </row>
    <row r="10864" spans="1:2" x14ac:dyDescent="0.25">
      <c r="A10864" s="4">
        <v>10859</v>
      </c>
      <c r="B10864" s="3" t="str">
        <f>"00689585"</f>
        <v>00689585</v>
      </c>
    </row>
    <row r="10865" spans="1:2" x14ac:dyDescent="0.25">
      <c r="A10865" s="4">
        <v>10860</v>
      </c>
      <c r="B10865" s="3" t="str">
        <f>"00689587"</f>
        <v>00689587</v>
      </c>
    </row>
    <row r="10866" spans="1:2" x14ac:dyDescent="0.25">
      <c r="A10866" s="4">
        <v>10861</v>
      </c>
      <c r="B10866" s="3" t="str">
        <f>"00689596"</f>
        <v>00689596</v>
      </c>
    </row>
    <row r="10867" spans="1:2" x14ac:dyDescent="0.25">
      <c r="A10867" s="4">
        <v>10862</v>
      </c>
      <c r="B10867" s="3" t="str">
        <f>"00689600"</f>
        <v>00689600</v>
      </c>
    </row>
    <row r="10868" spans="1:2" x14ac:dyDescent="0.25">
      <c r="A10868" s="4">
        <v>10863</v>
      </c>
      <c r="B10868" s="3" t="str">
        <f>"00689602"</f>
        <v>00689602</v>
      </c>
    </row>
    <row r="10869" spans="1:2" x14ac:dyDescent="0.25">
      <c r="A10869" s="4">
        <v>10864</v>
      </c>
      <c r="B10869" s="3" t="str">
        <f>"00689605"</f>
        <v>00689605</v>
      </c>
    </row>
    <row r="10870" spans="1:2" x14ac:dyDescent="0.25">
      <c r="A10870" s="4">
        <v>10865</v>
      </c>
      <c r="B10870" s="3" t="str">
        <f>"00689613"</f>
        <v>00689613</v>
      </c>
    </row>
    <row r="10871" spans="1:2" x14ac:dyDescent="0.25">
      <c r="A10871" s="4">
        <v>10866</v>
      </c>
      <c r="B10871" s="3" t="str">
        <f>"00689618"</f>
        <v>00689618</v>
      </c>
    </row>
    <row r="10872" spans="1:2" x14ac:dyDescent="0.25">
      <c r="A10872" s="4">
        <v>10867</v>
      </c>
      <c r="B10872" s="3" t="str">
        <f>"00689647"</f>
        <v>00689647</v>
      </c>
    </row>
    <row r="10873" spans="1:2" x14ac:dyDescent="0.25">
      <c r="A10873" s="4">
        <v>10868</v>
      </c>
      <c r="B10873" s="3" t="str">
        <f>"00689650"</f>
        <v>00689650</v>
      </c>
    </row>
    <row r="10874" spans="1:2" x14ac:dyDescent="0.25">
      <c r="A10874" s="4">
        <v>10869</v>
      </c>
      <c r="B10874" s="3" t="str">
        <f>"00689656"</f>
        <v>00689656</v>
      </c>
    </row>
    <row r="10875" spans="1:2" x14ac:dyDescent="0.25">
      <c r="A10875" s="4">
        <v>10870</v>
      </c>
      <c r="B10875" s="3" t="str">
        <f>"00689661"</f>
        <v>00689661</v>
      </c>
    </row>
    <row r="10876" spans="1:2" x14ac:dyDescent="0.25">
      <c r="A10876" s="4">
        <v>10871</v>
      </c>
      <c r="B10876" s="3" t="str">
        <f>"00689673"</f>
        <v>00689673</v>
      </c>
    </row>
    <row r="10877" spans="1:2" x14ac:dyDescent="0.25">
      <c r="A10877" s="4">
        <v>10872</v>
      </c>
      <c r="B10877" s="3" t="str">
        <f>"00689674"</f>
        <v>00689674</v>
      </c>
    </row>
    <row r="10878" spans="1:2" x14ac:dyDescent="0.25">
      <c r="A10878" s="4">
        <v>10873</v>
      </c>
      <c r="B10878" s="3" t="str">
        <f>"00689676"</f>
        <v>00689676</v>
      </c>
    </row>
    <row r="10879" spans="1:2" x14ac:dyDescent="0.25">
      <c r="A10879" s="4">
        <v>10874</v>
      </c>
      <c r="B10879" s="3" t="str">
        <f>"00689677"</f>
        <v>00689677</v>
      </c>
    </row>
    <row r="10880" spans="1:2" x14ac:dyDescent="0.25">
      <c r="A10880" s="4">
        <v>10875</v>
      </c>
      <c r="B10880" s="3" t="str">
        <f>"00689687"</f>
        <v>00689687</v>
      </c>
    </row>
    <row r="10881" spans="1:2" x14ac:dyDescent="0.25">
      <c r="A10881" s="4">
        <v>10876</v>
      </c>
      <c r="B10881" s="3" t="str">
        <f>"00689704"</f>
        <v>00689704</v>
      </c>
    </row>
    <row r="10882" spans="1:2" x14ac:dyDescent="0.25">
      <c r="A10882" s="4">
        <v>10877</v>
      </c>
      <c r="B10882" s="3" t="str">
        <f>"00689742"</f>
        <v>00689742</v>
      </c>
    </row>
    <row r="10883" spans="1:2" x14ac:dyDescent="0.25">
      <c r="A10883" s="4">
        <v>10878</v>
      </c>
      <c r="B10883" s="3" t="str">
        <f>"00689751"</f>
        <v>00689751</v>
      </c>
    </row>
    <row r="10884" spans="1:2" x14ac:dyDescent="0.25">
      <c r="A10884" s="4">
        <v>10879</v>
      </c>
      <c r="B10884" s="3" t="str">
        <f>"00689760"</f>
        <v>00689760</v>
      </c>
    </row>
    <row r="10885" spans="1:2" x14ac:dyDescent="0.25">
      <c r="A10885" s="4">
        <v>10880</v>
      </c>
      <c r="B10885" s="3" t="str">
        <f>"00689787"</f>
        <v>00689787</v>
      </c>
    </row>
    <row r="10886" spans="1:2" x14ac:dyDescent="0.25">
      <c r="A10886" s="4">
        <v>10881</v>
      </c>
      <c r="B10886" s="3" t="str">
        <f>"00689805"</f>
        <v>00689805</v>
      </c>
    </row>
    <row r="10887" spans="1:2" x14ac:dyDescent="0.25">
      <c r="A10887" s="4">
        <v>10882</v>
      </c>
      <c r="B10887" s="3" t="str">
        <f>"00689810"</f>
        <v>00689810</v>
      </c>
    </row>
    <row r="10888" spans="1:2" x14ac:dyDescent="0.25">
      <c r="A10888" s="4">
        <v>10883</v>
      </c>
      <c r="B10888" s="3" t="str">
        <f>"00689811"</f>
        <v>00689811</v>
      </c>
    </row>
    <row r="10889" spans="1:2" x14ac:dyDescent="0.25">
      <c r="A10889" s="4">
        <v>10884</v>
      </c>
      <c r="B10889" s="3" t="str">
        <f>"00689814"</f>
        <v>00689814</v>
      </c>
    </row>
    <row r="10890" spans="1:2" x14ac:dyDescent="0.25">
      <c r="A10890" s="4">
        <v>10885</v>
      </c>
      <c r="B10890" s="3" t="str">
        <f>"00689821"</f>
        <v>00689821</v>
      </c>
    </row>
    <row r="10891" spans="1:2" x14ac:dyDescent="0.25">
      <c r="A10891" s="4">
        <v>10886</v>
      </c>
      <c r="B10891" s="3" t="str">
        <f>"00689822"</f>
        <v>00689822</v>
      </c>
    </row>
    <row r="10892" spans="1:2" x14ac:dyDescent="0.25">
      <c r="A10892" s="4">
        <v>10887</v>
      </c>
      <c r="B10892" s="3" t="str">
        <f>"00689850"</f>
        <v>00689850</v>
      </c>
    </row>
    <row r="10893" spans="1:2" x14ac:dyDescent="0.25">
      <c r="A10893" s="4">
        <v>10888</v>
      </c>
      <c r="B10893" s="3" t="str">
        <f>"00689860"</f>
        <v>00689860</v>
      </c>
    </row>
    <row r="10894" spans="1:2" x14ac:dyDescent="0.25">
      <c r="A10894" s="4">
        <v>10889</v>
      </c>
      <c r="B10894" s="3" t="str">
        <f>"00689874"</f>
        <v>00689874</v>
      </c>
    </row>
    <row r="10895" spans="1:2" x14ac:dyDescent="0.25">
      <c r="A10895" s="4">
        <v>10890</v>
      </c>
      <c r="B10895" s="3" t="str">
        <f>"00689876"</f>
        <v>00689876</v>
      </c>
    </row>
    <row r="10896" spans="1:2" x14ac:dyDescent="0.25">
      <c r="A10896" s="4">
        <v>10891</v>
      </c>
      <c r="B10896" s="3" t="str">
        <f>"00689877"</f>
        <v>00689877</v>
      </c>
    </row>
    <row r="10897" spans="1:2" x14ac:dyDescent="0.25">
      <c r="A10897" s="4">
        <v>10892</v>
      </c>
      <c r="B10897" s="3" t="str">
        <f>"00689902"</f>
        <v>00689902</v>
      </c>
    </row>
    <row r="10898" spans="1:2" x14ac:dyDescent="0.25">
      <c r="A10898" s="4">
        <v>10893</v>
      </c>
      <c r="B10898" s="3" t="str">
        <f>"00689910"</f>
        <v>00689910</v>
      </c>
    </row>
    <row r="10899" spans="1:2" x14ac:dyDescent="0.25">
      <c r="A10899" s="4">
        <v>10894</v>
      </c>
      <c r="B10899" s="3" t="str">
        <f>"00689934"</f>
        <v>00689934</v>
      </c>
    </row>
    <row r="10900" spans="1:2" x14ac:dyDescent="0.25">
      <c r="A10900" s="4">
        <v>10895</v>
      </c>
      <c r="B10900" s="3" t="str">
        <f>"00689939"</f>
        <v>00689939</v>
      </c>
    </row>
    <row r="10901" spans="1:2" x14ac:dyDescent="0.25">
      <c r="A10901" s="4">
        <v>10896</v>
      </c>
      <c r="B10901" s="3" t="str">
        <f>"00689947"</f>
        <v>00689947</v>
      </c>
    </row>
    <row r="10902" spans="1:2" x14ac:dyDescent="0.25">
      <c r="A10902" s="4">
        <v>10897</v>
      </c>
      <c r="B10902" s="3" t="str">
        <f>"00689948"</f>
        <v>00689948</v>
      </c>
    </row>
    <row r="10903" spans="1:2" x14ac:dyDescent="0.25">
      <c r="A10903" s="4">
        <v>10898</v>
      </c>
      <c r="B10903" s="3" t="str">
        <f>"00689959"</f>
        <v>00689959</v>
      </c>
    </row>
    <row r="10904" spans="1:2" x14ac:dyDescent="0.25">
      <c r="A10904" s="4">
        <v>10899</v>
      </c>
      <c r="B10904" s="3" t="str">
        <f>"00689975"</f>
        <v>00689975</v>
      </c>
    </row>
    <row r="10905" spans="1:2" x14ac:dyDescent="0.25">
      <c r="A10905" s="4">
        <v>10900</v>
      </c>
      <c r="B10905" s="3" t="str">
        <f>"00689977"</f>
        <v>00689977</v>
      </c>
    </row>
    <row r="10906" spans="1:2" x14ac:dyDescent="0.25">
      <c r="A10906" s="4">
        <v>10901</v>
      </c>
      <c r="B10906" s="3" t="str">
        <f>"00689984"</f>
        <v>00689984</v>
      </c>
    </row>
    <row r="10907" spans="1:2" x14ac:dyDescent="0.25">
      <c r="A10907" s="4">
        <v>10902</v>
      </c>
      <c r="B10907" s="3" t="str">
        <f>"00690000"</f>
        <v>00690000</v>
      </c>
    </row>
    <row r="10908" spans="1:2" x14ac:dyDescent="0.25">
      <c r="A10908" s="4">
        <v>10903</v>
      </c>
      <c r="B10908" s="3" t="str">
        <f>"00690009"</f>
        <v>00690009</v>
      </c>
    </row>
    <row r="10909" spans="1:2" x14ac:dyDescent="0.25">
      <c r="A10909" s="4">
        <v>10904</v>
      </c>
      <c r="B10909" s="3" t="str">
        <f>"00690010"</f>
        <v>00690010</v>
      </c>
    </row>
    <row r="10910" spans="1:2" x14ac:dyDescent="0.25">
      <c r="A10910" s="4">
        <v>10905</v>
      </c>
      <c r="B10910" s="3" t="str">
        <f>"00690012"</f>
        <v>00690012</v>
      </c>
    </row>
    <row r="10911" spans="1:2" x14ac:dyDescent="0.25">
      <c r="A10911" s="4">
        <v>10906</v>
      </c>
      <c r="B10911" s="3" t="str">
        <f>"00690016"</f>
        <v>00690016</v>
      </c>
    </row>
    <row r="10912" spans="1:2" x14ac:dyDescent="0.25">
      <c r="A10912" s="4">
        <v>10907</v>
      </c>
      <c r="B10912" s="3" t="str">
        <f>"00690025"</f>
        <v>00690025</v>
      </c>
    </row>
    <row r="10913" spans="1:2" x14ac:dyDescent="0.25">
      <c r="A10913" s="4">
        <v>10908</v>
      </c>
      <c r="B10913" s="3" t="str">
        <f>"00690029"</f>
        <v>00690029</v>
      </c>
    </row>
    <row r="10914" spans="1:2" x14ac:dyDescent="0.25">
      <c r="A10914" s="4">
        <v>10909</v>
      </c>
      <c r="B10914" s="3" t="str">
        <f>"00690033"</f>
        <v>00690033</v>
      </c>
    </row>
    <row r="10915" spans="1:2" x14ac:dyDescent="0.25">
      <c r="A10915" s="4">
        <v>10910</v>
      </c>
      <c r="B10915" s="3" t="str">
        <f>"00690042"</f>
        <v>00690042</v>
      </c>
    </row>
    <row r="10916" spans="1:2" x14ac:dyDescent="0.25">
      <c r="A10916" s="4">
        <v>10911</v>
      </c>
      <c r="B10916" s="3" t="str">
        <f>"00690047"</f>
        <v>00690047</v>
      </c>
    </row>
    <row r="10917" spans="1:2" x14ac:dyDescent="0.25">
      <c r="A10917" s="4">
        <v>10912</v>
      </c>
      <c r="B10917" s="3" t="str">
        <f>"00690049"</f>
        <v>00690049</v>
      </c>
    </row>
    <row r="10918" spans="1:2" x14ac:dyDescent="0.25">
      <c r="A10918" s="4">
        <v>10913</v>
      </c>
      <c r="B10918" s="3" t="str">
        <f>"00690071"</f>
        <v>00690071</v>
      </c>
    </row>
    <row r="10919" spans="1:2" x14ac:dyDescent="0.25">
      <c r="A10919" s="4">
        <v>10914</v>
      </c>
      <c r="B10919" s="3" t="str">
        <f>"00690083"</f>
        <v>00690083</v>
      </c>
    </row>
    <row r="10920" spans="1:2" x14ac:dyDescent="0.25">
      <c r="A10920" s="4">
        <v>10915</v>
      </c>
      <c r="B10920" s="3" t="str">
        <f>"00690088"</f>
        <v>00690088</v>
      </c>
    </row>
    <row r="10921" spans="1:2" x14ac:dyDescent="0.25">
      <c r="A10921" s="4">
        <v>10916</v>
      </c>
      <c r="B10921" s="3" t="str">
        <f>"00690092"</f>
        <v>00690092</v>
      </c>
    </row>
    <row r="10922" spans="1:2" x14ac:dyDescent="0.25">
      <c r="A10922" s="4">
        <v>10917</v>
      </c>
      <c r="B10922" s="3" t="str">
        <f>"00690104"</f>
        <v>00690104</v>
      </c>
    </row>
    <row r="10923" spans="1:2" x14ac:dyDescent="0.25">
      <c r="A10923" s="4">
        <v>10918</v>
      </c>
      <c r="B10923" s="3" t="str">
        <f>"00690108"</f>
        <v>00690108</v>
      </c>
    </row>
    <row r="10924" spans="1:2" x14ac:dyDescent="0.25">
      <c r="A10924" s="4">
        <v>10919</v>
      </c>
      <c r="B10924" s="3" t="str">
        <f>"00690114"</f>
        <v>00690114</v>
      </c>
    </row>
    <row r="10925" spans="1:2" x14ac:dyDescent="0.25">
      <c r="A10925" s="4">
        <v>10920</v>
      </c>
      <c r="B10925" s="3" t="str">
        <f>"00690115"</f>
        <v>00690115</v>
      </c>
    </row>
    <row r="10926" spans="1:2" x14ac:dyDescent="0.25">
      <c r="A10926" s="4">
        <v>10921</v>
      </c>
      <c r="B10926" s="3" t="str">
        <f>"00690131"</f>
        <v>00690131</v>
      </c>
    </row>
    <row r="10927" spans="1:2" x14ac:dyDescent="0.25">
      <c r="A10927" s="4">
        <v>10922</v>
      </c>
      <c r="B10927" s="3" t="str">
        <f>"00690143"</f>
        <v>00690143</v>
      </c>
    </row>
    <row r="10928" spans="1:2" x14ac:dyDescent="0.25">
      <c r="A10928" s="4">
        <v>10923</v>
      </c>
      <c r="B10928" s="3" t="str">
        <f>"00690146"</f>
        <v>00690146</v>
      </c>
    </row>
    <row r="10929" spans="1:2" x14ac:dyDescent="0.25">
      <c r="A10929" s="4">
        <v>10924</v>
      </c>
      <c r="B10929" s="3" t="str">
        <f>"00690147"</f>
        <v>00690147</v>
      </c>
    </row>
    <row r="10930" spans="1:2" x14ac:dyDescent="0.25">
      <c r="A10930" s="4">
        <v>10925</v>
      </c>
      <c r="B10930" s="3" t="str">
        <f>"00690158"</f>
        <v>00690158</v>
      </c>
    </row>
    <row r="10931" spans="1:2" x14ac:dyDescent="0.25">
      <c r="A10931" s="4">
        <v>10926</v>
      </c>
      <c r="B10931" s="3" t="str">
        <f>"00690161"</f>
        <v>00690161</v>
      </c>
    </row>
    <row r="10932" spans="1:2" x14ac:dyDescent="0.25">
      <c r="A10932" s="4">
        <v>10927</v>
      </c>
      <c r="B10932" s="3" t="str">
        <f>"00690162"</f>
        <v>00690162</v>
      </c>
    </row>
    <row r="10933" spans="1:2" x14ac:dyDescent="0.25">
      <c r="A10933" s="4">
        <v>10928</v>
      </c>
      <c r="B10933" s="3" t="str">
        <f>"00690177"</f>
        <v>00690177</v>
      </c>
    </row>
    <row r="10934" spans="1:2" x14ac:dyDescent="0.25">
      <c r="A10934" s="4">
        <v>10929</v>
      </c>
      <c r="B10934" s="3" t="str">
        <f>"00690192"</f>
        <v>00690192</v>
      </c>
    </row>
    <row r="10935" spans="1:2" x14ac:dyDescent="0.25">
      <c r="A10935" s="4">
        <v>10930</v>
      </c>
      <c r="B10935" s="3" t="str">
        <f>"00690198"</f>
        <v>00690198</v>
      </c>
    </row>
    <row r="10936" spans="1:2" x14ac:dyDescent="0.25">
      <c r="A10936" s="4">
        <v>10931</v>
      </c>
      <c r="B10936" s="3" t="str">
        <f>"00690210"</f>
        <v>00690210</v>
      </c>
    </row>
    <row r="10937" spans="1:2" x14ac:dyDescent="0.25">
      <c r="A10937" s="4">
        <v>10932</v>
      </c>
      <c r="B10937" s="3" t="str">
        <f>"00690211"</f>
        <v>00690211</v>
      </c>
    </row>
    <row r="10938" spans="1:2" x14ac:dyDescent="0.25">
      <c r="A10938" s="4">
        <v>10933</v>
      </c>
      <c r="B10938" s="3" t="str">
        <f>"00690223"</f>
        <v>00690223</v>
      </c>
    </row>
    <row r="10939" spans="1:2" x14ac:dyDescent="0.25">
      <c r="A10939" s="4">
        <v>10934</v>
      </c>
      <c r="B10939" s="3" t="str">
        <f>"00690233"</f>
        <v>00690233</v>
      </c>
    </row>
    <row r="10940" spans="1:2" x14ac:dyDescent="0.25">
      <c r="A10940" s="4">
        <v>10935</v>
      </c>
      <c r="B10940" s="3" t="str">
        <f>"00690235"</f>
        <v>00690235</v>
      </c>
    </row>
    <row r="10941" spans="1:2" x14ac:dyDescent="0.25">
      <c r="A10941" s="4">
        <v>10936</v>
      </c>
      <c r="B10941" s="3" t="str">
        <f>"00690236"</f>
        <v>00690236</v>
      </c>
    </row>
    <row r="10942" spans="1:2" x14ac:dyDescent="0.25">
      <c r="A10942" s="4">
        <v>10937</v>
      </c>
      <c r="B10942" s="3" t="str">
        <f>"00690250"</f>
        <v>00690250</v>
      </c>
    </row>
    <row r="10943" spans="1:2" x14ac:dyDescent="0.25">
      <c r="A10943" s="4">
        <v>10938</v>
      </c>
      <c r="B10943" s="3" t="str">
        <f>"00690251"</f>
        <v>00690251</v>
      </c>
    </row>
    <row r="10944" spans="1:2" x14ac:dyDescent="0.25">
      <c r="A10944" s="4">
        <v>10939</v>
      </c>
      <c r="B10944" s="3" t="str">
        <f>"00690272"</f>
        <v>00690272</v>
      </c>
    </row>
    <row r="10945" spans="1:2" x14ac:dyDescent="0.25">
      <c r="A10945" s="4">
        <v>10940</v>
      </c>
      <c r="B10945" s="3" t="str">
        <f>"00690275"</f>
        <v>00690275</v>
      </c>
    </row>
    <row r="10946" spans="1:2" x14ac:dyDescent="0.25">
      <c r="A10946" s="4">
        <v>10941</v>
      </c>
      <c r="B10946" s="3" t="str">
        <f>"00690278"</f>
        <v>00690278</v>
      </c>
    </row>
    <row r="10947" spans="1:2" x14ac:dyDescent="0.25">
      <c r="A10947" s="4">
        <v>10942</v>
      </c>
      <c r="B10947" s="3" t="str">
        <f>"00690287"</f>
        <v>00690287</v>
      </c>
    </row>
    <row r="10948" spans="1:2" x14ac:dyDescent="0.25">
      <c r="A10948" s="4">
        <v>10943</v>
      </c>
      <c r="B10948" s="3" t="str">
        <f>"00690291"</f>
        <v>00690291</v>
      </c>
    </row>
    <row r="10949" spans="1:2" x14ac:dyDescent="0.25">
      <c r="A10949" s="4">
        <v>10944</v>
      </c>
      <c r="B10949" s="3" t="str">
        <f>"00690302"</f>
        <v>00690302</v>
      </c>
    </row>
    <row r="10950" spans="1:2" x14ac:dyDescent="0.25">
      <c r="A10950" s="4">
        <v>10945</v>
      </c>
      <c r="B10950" s="3" t="str">
        <f>"00690308"</f>
        <v>00690308</v>
      </c>
    </row>
    <row r="10951" spans="1:2" x14ac:dyDescent="0.25">
      <c r="A10951" s="4">
        <v>10946</v>
      </c>
      <c r="B10951" s="3" t="str">
        <f>"00690315"</f>
        <v>00690315</v>
      </c>
    </row>
    <row r="10952" spans="1:2" x14ac:dyDescent="0.25">
      <c r="A10952" s="4">
        <v>10947</v>
      </c>
      <c r="B10952" s="3" t="str">
        <f>"00690318"</f>
        <v>00690318</v>
      </c>
    </row>
    <row r="10953" spans="1:2" x14ac:dyDescent="0.25">
      <c r="A10953" s="4">
        <v>10948</v>
      </c>
      <c r="B10953" s="3" t="str">
        <f>"00690329"</f>
        <v>00690329</v>
      </c>
    </row>
    <row r="10954" spans="1:2" x14ac:dyDescent="0.25">
      <c r="A10954" s="4">
        <v>10949</v>
      </c>
      <c r="B10954" s="3" t="str">
        <f>"00690332"</f>
        <v>00690332</v>
      </c>
    </row>
    <row r="10955" spans="1:2" x14ac:dyDescent="0.25">
      <c r="A10955" s="4">
        <v>10950</v>
      </c>
      <c r="B10955" s="3" t="str">
        <f>"00690343"</f>
        <v>00690343</v>
      </c>
    </row>
    <row r="10956" spans="1:2" x14ac:dyDescent="0.25">
      <c r="A10956" s="4">
        <v>10951</v>
      </c>
      <c r="B10956" s="3" t="str">
        <f>"00690352"</f>
        <v>00690352</v>
      </c>
    </row>
    <row r="10957" spans="1:2" x14ac:dyDescent="0.25">
      <c r="A10957" s="4">
        <v>10952</v>
      </c>
      <c r="B10957" s="3" t="str">
        <f>"00690357"</f>
        <v>00690357</v>
      </c>
    </row>
    <row r="10958" spans="1:2" x14ac:dyDescent="0.25">
      <c r="A10958" s="4">
        <v>10953</v>
      </c>
      <c r="B10958" s="3" t="str">
        <f>"00690367"</f>
        <v>00690367</v>
      </c>
    </row>
    <row r="10959" spans="1:2" x14ac:dyDescent="0.25">
      <c r="A10959" s="4">
        <v>10954</v>
      </c>
      <c r="B10959" s="3" t="str">
        <f>"00690370"</f>
        <v>00690370</v>
      </c>
    </row>
    <row r="10960" spans="1:2" x14ac:dyDescent="0.25">
      <c r="A10960" s="4">
        <v>10955</v>
      </c>
      <c r="B10960" s="3" t="str">
        <f>"00690373"</f>
        <v>00690373</v>
      </c>
    </row>
    <row r="10961" spans="1:2" x14ac:dyDescent="0.25">
      <c r="A10961" s="4">
        <v>10956</v>
      </c>
      <c r="B10961" s="3" t="str">
        <f>"00690379"</f>
        <v>00690379</v>
      </c>
    </row>
    <row r="10962" spans="1:2" x14ac:dyDescent="0.25">
      <c r="A10962" s="4">
        <v>10957</v>
      </c>
      <c r="B10962" s="3" t="str">
        <f>"00690388"</f>
        <v>00690388</v>
      </c>
    </row>
    <row r="10963" spans="1:2" x14ac:dyDescent="0.25">
      <c r="A10963" s="4">
        <v>10958</v>
      </c>
      <c r="B10963" s="3" t="str">
        <f>"00690390"</f>
        <v>00690390</v>
      </c>
    </row>
    <row r="10964" spans="1:2" x14ac:dyDescent="0.25">
      <c r="A10964" s="4">
        <v>10959</v>
      </c>
      <c r="B10964" s="3" t="str">
        <f>"00690392"</f>
        <v>00690392</v>
      </c>
    </row>
    <row r="10965" spans="1:2" x14ac:dyDescent="0.25">
      <c r="A10965" s="4">
        <v>10960</v>
      </c>
      <c r="B10965" s="3" t="str">
        <f>"00690400"</f>
        <v>00690400</v>
      </c>
    </row>
    <row r="10966" spans="1:2" x14ac:dyDescent="0.25">
      <c r="A10966" s="4">
        <v>10961</v>
      </c>
      <c r="B10966" s="3" t="str">
        <f>"00690402"</f>
        <v>00690402</v>
      </c>
    </row>
    <row r="10967" spans="1:2" x14ac:dyDescent="0.25">
      <c r="A10967" s="4">
        <v>10962</v>
      </c>
      <c r="B10967" s="3" t="str">
        <f>"00690405"</f>
        <v>00690405</v>
      </c>
    </row>
    <row r="10968" spans="1:2" x14ac:dyDescent="0.25">
      <c r="A10968" s="4">
        <v>10963</v>
      </c>
      <c r="B10968" s="3" t="str">
        <f>"00690406"</f>
        <v>00690406</v>
      </c>
    </row>
    <row r="10969" spans="1:2" x14ac:dyDescent="0.25">
      <c r="A10969" s="4">
        <v>10964</v>
      </c>
      <c r="B10969" s="3" t="str">
        <f>"00690411"</f>
        <v>00690411</v>
      </c>
    </row>
    <row r="10970" spans="1:2" x14ac:dyDescent="0.25">
      <c r="A10970" s="4">
        <v>10965</v>
      </c>
      <c r="B10970" s="3" t="str">
        <f>"00690416"</f>
        <v>00690416</v>
      </c>
    </row>
    <row r="10971" spans="1:2" x14ac:dyDescent="0.25">
      <c r="A10971" s="4">
        <v>10966</v>
      </c>
      <c r="B10971" s="3" t="str">
        <f>"00690420"</f>
        <v>00690420</v>
      </c>
    </row>
    <row r="10972" spans="1:2" x14ac:dyDescent="0.25">
      <c r="A10972" s="4">
        <v>10967</v>
      </c>
      <c r="B10972" s="3" t="str">
        <f>"00690421"</f>
        <v>00690421</v>
      </c>
    </row>
    <row r="10973" spans="1:2" x14ac:dyDescent="0.25">
      <c r="A10973" s="4">
        <v>10968</v>
      </c>
      <c r="B10973" s="3" t="str">
        <f>"00690422"</f>
        <v>00690422</v>
      </c>
    </row>
    <row r="10974" spans="1:2" x14ac:dyDescent="0.25">
      <c r="A10974" s="4">
        <v>10969</v>
      </c>
      <c r="B10974" s="3" t="str">
        <f>"00690423"</f>
        <v>00690423</v>
      </c>
    </row>
    <row r="10975" spans="1:2" x14ac:dyDescent="0.25">
      <c r="A10975" s="4">
        <v>10970</v>
      </c>
      <c r="B10975" s="3" t="str">
        <f>"00690425"</f>
        <v>00690425</v>
      </c>
    </row>
    <row r="10976" spans="1:2" x14ac:dyDescent="0.25">
      <c r="A10976" s="4">
        <v>10971</v>
      </c>
      <c r="B10976" s="3" t="str">
        <f>"00690431"</f>
        <v>00690431</v>
      </c>
    </row>
    <row r="10977" spans="1:2" x14ac:dyDescent="0.25">
      <c r="A10977" s="4">
        <v>10972</v>
      </c>
      <c r="B10977" s="3" t="str">
        <f>"00690439"</f>
        <v>00690439</v>
      </c>
    </row>
    <row r="10978" spans="1:2" x14ac:dyDescent="0.25">
      <c r="A10978" s="4">
        <v>10973</v>
      </c>
      <c r="B10978" s="3" t="str">
        <f>"00690451"</f>
        <v>00690451</v>
      </c>
    </row>
    <row r="10979" spans="1:2" x14ac:dyDescent="0.25">
      <c r="A10979" s="4">
        <v>10974</v>
      </c>
      <c r="B10979" s="3" t="str">
        <f>"00690453"</f>
        <v>00690453</v>
      </c>
    </row>
    <row r="10980" spans="1:2" x14ac:dyDescent="0.25">
      <c r="A10980" s="4">
        <v>10975</v>
      </c>
      <c r="B10980" s="3" t="str">
        <f>"00690459"</f>
        <v>00690459</v>
      </c>
    </row>
    <row r="10981" spans="1:2" x14ac:dyDescent="0.25">
      <c r="A10981" s="4">
        <v>10976</v>
      </c>
      <c r="B10981" s="3" t="str">
        <f>"00690464"</f>
        <v>00690464</v>
      </c>
    </row>
    <row r="10982" spans="1:2" x14ac:dyDescent="0.25">
      <c r="A10982" s="4">
        <v>10977</v>
      </c>
      <c r="B10982" s="3" t="str">
        <f>"00690479"</f>
        <v>00690479</v>
      </c>
    </row>
    <row r="10983" spans="1:2" x14ac:dyDescent="0.25">
      <c r="A10983" s="4">
        <v>10978</v>
      </c>
      <c r="B10983" s="3" t="str">
        <f>"00690493"</f>
        <v>00690493</v>
      </c>
    </row>
    <row r="10984" spans="1:2" x14ac:dyDescent="0.25">
      <c r="A10984" s="4">
        <v>10979</v>
      </c>
      <c r="B10984" s="3" t="str">
        <f>"00690504"</f>
        <v>00690504</v>
      </c>
    </row>
    <row r="10985" spans="1:2" x14ac:dyDescent="0.25">
      <c r="A10985" s="4">
        <v>10980</v>
      </c>
      <c r="B10985" s="3" t="str">
        <f>"00690510"</f>
        <v>00690510</v>
      </c>
    </row>
    <row r="10986" spans="1:2" x14ac:dyDescent="0.25">
      <c r="A10986" s="4">
        <v>10981</v>
      </c>
      <c r="B10986" s="3" t="str">
        <f>"00690518"</f>
        <v>00690518</v>
      </c>
    </row>
    <row r="10987" spans="1:2" x14ac:dyDescent="0.25">
      <c r="A10987" s="4">
        <v>10982</v>
      </c>
      <c r="B10987" s="3" t="str">
        <f>"00690528"</f>
        <v>00690528</v>
      </c>
    </row>
    <row r="10988" spans="1:2" x14ac:dyDescent="0.25">
      <c r="A10988" s="4">
        <v>10983</v>
      </c>
      <c r="B10988" s="3" t="str">
        <f>"00690536"</f>
        <v>00690536</v>
      </c>
    </row>
    <row r="10989" spans="1:2" x14ac:dyDescent="0.25">
      <c r="A10989" s="4">
        <v>10984</v>
      </c>
      <c r="B10989" s="3" t="str">
        <f>"00690538"</f>
        <v>00690538</v>
      </c>
    </row>
    <row r="10990" spans="1:2" x14ac:dyDescent="0.25">
      <c r="A10990" s="4">
        <v>10985</v>
      </c>
      <c r="B10990" s="3" t="str">
        <f>"00690543"</f>
        <v>00690543</v>
      </c>
    </row>
    <row r="10991" spans="1:2" x14ac:dyDescent="0.25">
      <c r="A10991" s="4">
        <v>10986</v>
      </c>
      <c r="B10991" s="3" t="str">
        <f>"00690546"</f>
        <v>00690546</v>
      </c>
    </row>
    <row r="10992" spans="1:2" x14ac:dyDescent="0.25">
      <c r="A10992" s="4">
        <v>10987</v>
      </c>
      <c r="B10992" s="3" t="str">
        <f>"00690558"</f>
        <v>00690558</v>
      </c>
    </row>
    <row r="10993" spans="1:2" x14ac:dyDescent="0.25">
      <c r="A10993" s="4">
        <v>10988</v>
      </c>
      <c r="B10993" s="3" t="str">
        <f>"00690559"</f>
        <v>00690559</v>
      </c>
    </row>
    <row r="10994" spans="1:2" x14ac:dyDescent="0.25">
      <c r="A10994" s="4">
        <v>10989</v>
      </c>
      <c r="B10994" s="3" t="str">
        <f>"00690563"</f>
        <v>00690563</v>
      </c>
    </row>
    <row r="10995" spans="1:2" x14ac:dyDescent="0.25">
      <c r="A10995" s="4">
        <v>10990</v>
      </c>
      <c r="B10995" s="3" t="str">
        <f>"00690587"</f>
        <v>00690587</v>
      </c>
    </row>
    <row r="10996" spans="1:2" x14ac:dyDescent="0.25">
      <c r="A10996" s="4">
        <v>10991</v>
      </c>
      <c r="B10996" s="3" t="str">
        <f>"00690588"</f>
        <v>00690588</v>
      </c>
    </row>
    <row r="10997" spans="1:2" x14ac:dyDescent="0.25">
      <c r="A10997" s="4">
        <v>10992</v>
      </c>
      <c r="B10997" s="3" t="str">
        <f>"00690597"</f>
        <v>00690597</v>
      </c>
    </row>
    <row r="10998" spans="1:2" x14ac:dyDescent="0.25">
      <c r="A10998" s="4">
        <v>10993</v>
      </c>
      <c r="B10998" s="3" t="str">
        <f>"00690606"</f>
        <v>00690606</v>
      </c>
    </row>
    <row r="10999" spans="1:2" x14ac:dyDescent="0.25">
      <c r="A10999" s="4">
        <v>10994</v>
      </c>
      <c r="B10999" s="3" t="str">
        <f>"00690611"</f>
        <v>00690611</v>
      </c>
    </row>
    <row r="11000" spans="1:2" x14ac:dyDescent="0.25">
      <c r="A11000" s="4">
        <v>10995</v>
      </c>
      <c r="B11000" s="3" t="str">
        <f>"00690614"</f>
        <v>00690614</v>
      </c>
    </row>
    <row r="11001" spans="1:2" x14ac:dyDescent="0.25">
      <c r="A11001" s="4">
        <v>10996</v>
      </c>
      <c r="B11001" s="3" t="str">
        <f>"00690620"</f>
        <v>00690620</v>
      </c>
    </row>
    <row r="11002" spans="1:2" x14ac:dyDescent="0.25">
      <c r="A11002" s="4">
        <v>10997</v>
      </c>
      <c r="B11002" s="3" t="str">
        <f>"00690632"</f>
        <v>00690632</v>
      </c>
    </row>
    <row r="11003" spans="1:2" x14ac:dyDescent="0.25">
      <c r="A11003" s="4">
        <v>10998</v>
      </c>
      <c r="B11003" s="3" t="str">
        <f>"00690650"</f>
        <v>00690650</v>
      </c>
    </row>
    <row r="11004" spans="1:2" x14ac:dyDescent="0.25">
      <c r="A11004" s="4">
        <v>10999</v>
      </c>
      <c r="B11004" s="3" t="str">
        <f>"00690652"</f>
        <v>00690652</v>
      </c>
    </row>
    <row r="11005" spans="1:2" x14ac:dyDescent="0.25">
      <c r="A11005" s="4">
        <v>11000</v>
      </c>
      <c r="B11005" s="3" t="str">
        <f>"00690663"</f>
        <v>00690663</v>
      </c>
    </row>
    <row r="11006" spans="1:2" x14ac:dyDescent="0.25">
      <c r="A11006" s="4">
        <v>11001</v>
      </c>
      <c r="B11006" s="3" t="str">
        <f>"00690669"</f>
        <v>00690669</v>
      </c>
    </row>
    <row r="11007" spans="1:2" x14ac:dyDescent="0.25">
      <c r="A11007" s="4">
        <v>11002</v>
      </c>
      <c r="B11007" s="3" t="str">
        <f>"00690705"</f>
        <v>00690705</v>
      </c>
    </row>
    <row r="11008" spans="1:2" x14ac:dyDescent="0.25">
      <c r="A11008" s="4">
        <v>11003</v>
      </c>
      <c r="B11008" s="3" t="str">
        <f>"00690736"</f>
        <v>00690736</v>
      </c>
    </row>
    <row r="11009" spans="1:2" x14ac:dyDescent="0.25">
      <c r="A11009" s="4">
        <v>11004</v>
      </c>
      <c r="B11009" s="3" t="str">
        <f>"00690741"</f>
        <v>00690741</v>
      </c>
    </row>
    <row r="11010" spans="1:2" x14ac:dyDescent="0.25">
      <c r="A11010" s="4">
        <v>11005</v>
      </c>
      <c r="B11010" s="3" t="str">
        <f>"00690746"</f>
        <v>00690746</v>
      </c>
    </row>
    <row r="11011" spans="1:2" x14ac:dyDescent="0.25">
      <c r="A11011" s="4">
        <v>11006</v>
      </c>
      <c r="B11011" s="3" t="str">
        <f>"00690747"</f>
        <v>00690747</v>
      </c>
    </row>
    <row r="11012" spans="1:2" x14ac:dyDescent="0.25">
      <c r="A11012" s="4">
        <v>11007</v>
      </c>
      <c r="B11012" s="3" t="str">
        <f>"00690753"</f>
        <v>00690753</v>
      </c>
    </row>
    <row r="11013" spans="1:2" x14ac:dyDescent="0.25">
      <c r="A11013" s="4">
        <v>11008</v>
      </c>
      <c r="B11013" s="3" t="str">
        <f>"00690778"</f>
        <v>00690778</v>
      </c>
    </row>
    <row r="11014" spans="1:2" x14ac:dyDescent="0.25">
      <c r="A11014" s="4">
        <v>11009</v>
      </c>
      <c r="B11014" s="3" t="str">
        <f>"00690780"</f>
        <v>00690780</v>
      </c>
    </row>
    <row r="11015" spans="1:2" x14ac:dyDescent="0.25">
      <c r="A11015" s="4">
        <v>11010</v>
      </c>
      <c r="B11015" s="3" t="str">
        <f>"00690782"</f>
        <v>00690782</v>
      </c>
    </row>
    <row r="11016" spans="1:2" x14ac:dyDescent="0.25">
      <c r="A11016" s="4">
        <v>11011</v>
      </c>
      <c r="B11016" s="3" t="str">
        <f>"00690791"</f>
        <v>00690791</v>
      </c>
    </row>
    <row r="11017" spans="1:2" x14ac:dyDescent="0.25">
      <c r="A11017" s="4">
        <v>11012</v>
      </c>
      <c r="B11017" s="3" t="str">
        <f>"00690801"</f>
        <v>00690801</v>
      </c>
    </row>
    <row r="11018" spans="1:2" x14ac:dyDescent="0.25">
      <c r="A11018" s="4">
        <v>11013</v>
      </c>
      <c r="B11018" s="3" t="str">
        <f>"00690826"</f>
        <v>00690826</v>
      </c>
    </row>
    <row r="11019" spans="1:2" x14ac:dyDescent="0.25">
      <c r="A11019" s="4">
        <v>11014</v>
      </c>
      <c r="B11019" s="3" t="str">
        <f>"00690830"</f>
        <v>00690830</v>
      </c>
    </row>
    <row r="11020" spans="1:2" x14ac:dyDescent="0.25">
      <c r="A11020" s="4">
        <v>11015</v>
      </c>
      <c r="B11020" s="3" t="str">
        <f>"00690847"</f>
        <v>00690847</v>
      </c>
    </row>
    <row r="11021" spans="1:2" x14ac:dyDescent="0.25">
      <c r="A11021" s="4">
        <v>11016</v>
      </c>
      <c r="B11021" s="3" t="str">
        <f>"00690856"</f>
        <v>00690856</v>
      </c>
    </row>
    <row r="11022" spans="1:2" x14ac:dyDescent="0.25">
      <c r="A11022" s="4">
        <v>11017</v>
      </c>
      <c r="B11022" s="3" t="str">
        <f>"00690860"</f>
        <v>00690860</v>
      </c>
    </row>
    <row r="11023" spans="1:2" x14ac:dyDescent="0.25">
      <c r="A11023" s="4">
        <v>11018</v>
      </c>
      <c r="B11023" s="3" t="str">
        <f>"00690864"</f>
        <v>00690864</v>
      </c>
    </row>
    <row r="11024" spans="1:2" x14ac:dyDescent="0.25">
      <c r="A11024" s="4">
        <v>11019</v>
      </c>
      <c r="B11024" s="3" t="str">
        <f>"00690877"</f>
        <v>00690877</v>
      </c>
    </row>
    <row r="11025" spans="1:2" x14ac:dyDescent="0.25">
      <c r="A11025" s="4">
        <v>11020</v>
      </c>
      <c r="B11025" s="3" t="str">
        <f>"00690879"</f>
        <v>00690879</v>
      </c>
    </row>
    <row r="11026" spans="1:2" x14ac:dyDescent="0.25">
      <c r="A11026" s="4">
        <v>11021</v>
      </c>
      <c r="B11026" s="3" t="str">
        <f>"00690906"</f>
        <v>00690906</v>
      </c>
    </row>
    <row r="11027" spans="1:2" x14ac:dyDescent="0.25">
      <c r="A11027" s="4">
        <v>11022</v>
      </c>
      <c r="B11027" s="3" t="str">
        <f>"00690921"</f>
        <v>00690921</v>
      </c>
    </row>
    <row r="11028" spans="1:2" x14ac:dyDescent="0.25">
      <c r="A11028" s="4">
        <v>11023</v>
      </c>
      <c r="B11028" s="3" t="str">
        <f>"00690935"</f>
        <v>00690935</v>
      </c>
    </row>
    <row r="11029" spans="1:2" x14ac:dyDescent="0.25">
      <c r="A11029" s="4">
        <v>11024</v>
      </c>
      <c r="B11029" s="3" t="str">
        <f>"00690943"</f>
        <v>00690943</v>
      </c>
    </row>
    <row r="11030" spans="1:2" x14ac:dyDescent="0.25">
      <c r="A11030" s="4">
        <v>11025</v>
      </c>
      <c r="B11030" s="3" t="str">
        <f>"00690946"</f>
        <v>00690946</v>
      </c>
    </row>
    <row r="11031" spans="1:2" x14ac:dyDescent="0.25">
      <c r="A11031" s="4">
        <v>11026</v>
      </c>
      <c r="B11031" s="3" t="str">
        <f>"00690948"</f>
        <v>00690948</v>
      </c>
    </row>
    <row r="11032" spans="1:2" x14ac:dyDescent="0.25">
      <c r="A11032" s="4">
        <v>11027</v>
      </c>
      <c r="B11032" s="3" t="str">
        <f>"00690949"</f>
        <v>00690949</v>
      </c>
    </row>
    <row r="11033" spans="1:2" x14ac:dyDescent="0.25">
      <c r="A11033" s="4">
        <v>11028</v>
      </c>
      <c r="B11033" s="3" t="str">
        <f>"00690953"</f>
        <v>00690953</v>
      </c>
    </row>
    <row r="11034" spans="1:2" x14ac:dyDescent="0.25">
      <c r="A11034" s="4">
        <v>11029</v>
      </c>
      <c r="B11034" s="3" t="str">
        <f>"00690955"</f>
        <v>00690955</v>
      </c>
    </row>
    <row r="11035" spans="1:2" x14ac:dyDescent="0.25">
      <c r="A11035" s="4">
        <v>11030</v>
      </c>
      <c r="B11035" s="3" t="str">
        <f>"00690972"</f>
        <v>00690972</v>
      </c>
    </row>
    <row r="11036" spans="1:2" x14ac:dyDescent="0.25">
      <c r="A11036" s="4">
        <v>11031</v>
      </c>
      <c r="B11036" s="3" t="str">
        <f>"00690976"</f>
        <v>00690976</v>
      </c>
    </row>
    <row r="11037" spans="1:2" x14ac:dyDescent="0.25">
      <c r="A11037" s="4">
        <v>11032</v>
      </c>
      <c r="B11037" s="3" t="str">
        <f>"00690983"</f>
        <v>00690983</v>
      </c>
    </row>
    <row r="11038" spans="1:2" x14ac:dyDescent="0.25">
      <c r="A11038" s="4">
        <v>11033</v>
      </c>
      <c r="B11038" s="3" t="str">
        <f>"00690988"</f>
        <v>00690988</v>
      </c>
    </row>
    <row r="11039" spans="1:2" x14ac:dyDescent="0.25">
      <c r="A11039" s="4">
        <v>11034</v>
      </c>
      <c r="B11039" s="3" t="str">
        <f>"00690990"</f>
        <v>00690990</v>
      </c>
    </row>
    <row r="11040" spans="1:2" x14ac:dyDescent="0.25">
      <c r="A11040" s="4">
        <v>11035</v>
      </c>
      <c r="B11040" s="3" t="str">
        <f>"00691002"</f>
        <v>00691002</v>
      </c>
    </row>
    <row r="11041" spans="1:2" x14ac:dyDescent="0.25">
      <c r="A11041" s="4">
        <v>11036</v>
      </c>
      <c r="B11041" s="3" t="str">
        <f>"00691003"</f>
        <v>00691003</v>
      </c>
    </row>
    <row r="11042" spans="1:2" x14ac:dyDescent="0.25">
      <c r="A11042" s="4">
        <v>11037</v>
      </c>
      <c r="B11042" s="3" t="str">
        <f>"00691006"</f>
        <v>00691006</v>
      </c>
    </row>
    <row r="11043" spans="1:2" x14ac:dyDescent="0.25">
      <c r="A11043" s="4">
        <v>11038</v>
      </c>
      <c r="B11043" s="3" t="str">
        <f>"00691007"</f>
        <v>00691007</v>
      </c>
    </row>
    <row r="11044" spans="1:2" x14ac:dyDescent="0.25">
      <c r="A11044" s="4">
        <v>11039</v>
      </c>
      <c r="B11044" s="3" t="str">
        <f>"00691018"</f>
        <v>00691018</v>
      </c>
    </row>
    <row r="11045" spans="1:2" x14ac:dyDescent="0.25">
      <c r="A11045" s="4">
        <v>11040</v>
      </c>
      <c r="B11045" s="3" t="str">
        <f>"00691026"</f>
        <v>00691026</v>
      </c>
    </row>
    <row r="11046" spans="1:2" x14ac:dyDescent="0.25">
      <c r="A11046" s="4">
        <v>11041</v>
      </c>
      <c r="B11046" s="3" t="str">
        <f>"00691027"</f>
        <v>00691027</v>
      </c>
    </row>
    <row r="11047" spans="1:2" x14ac:dyDescent="0.25">
      <c r="A11047" s="4">
        <v>11042</v>
      </c>
      <c r="B11047" s="3" t="str">
        <f>"00691035"</f>
        <v>00691035</v>
      </c>
    </row>
    <row r="11048" spans="1:2" x14ac:dyDescent="0.25">
      <c r="A11048" s="4">
        <v>11043</v>
      </c>
      <c r="B11048" s="3" t="str">
        <f>"00691037"</f>
        <v>00691037</v>
      </c>
    </row>
    <row r="11049" spans="1:2" x14ac:dyDescent="0.25">
      <c r="A11049" s="4">
        <v>11044</v>
      </c>
      <c r="B11049" s="3" t="str">
        <f>"00691044"</f>
        <v>00691044</v>
      </c>
    </row>
    <row r="11050" spans="1:2" x14ac:dyDescent="0.25">
      <c r="A11050" s="4">
        <v>11045</v>
      </c>
      <c r="B11050" s="3" t="str">
        <f>"00691046"</f>
        <v>00691046</v>
      </c>
    </row>
    <row r="11051" spans="1:2" x14ac:dyDescent="0.25">
      <c r="A11051" s="4">
        <v>11046</v>
      </c>
      <c r="B11051" s="3" t="str">
        <f>"00691055"</f>
        <v>00691055</v>
      </c>
    </row>
    <row r="11052" spans="1:2" x14ac:dyDescent="0.25">
      <c r="A11052" s="4">
        <v>11047</v>
      </c>
      <c r="B11052" s="3" t="str">
        <f>"00691063"</f>
        <v>00691063</v>
      </c>
    </row>
    <row r="11053" spans="1:2" x14ac:dyDescent="0.25">
      <c r="A11053" s="4">
        <v>11048</v>
      </c>
      <c r="B11053" s="3" t="str">
        <f>"00691066"</f>
        <v>00691066</v>
      </c>
    </row>
    <row r="11054" spans="1:2" x14ac:dyDescent="0.25">
      <c r="A11054" s="4">
        <v>11049</v>
      </c>
      <c r="B11054" s="3" t="str">
        <f>"00691073"</f>
        <v>00691073</v>
      </c>
    </row>
    <row r="11055" spans="1:2" x14ac:dyDescent="0.25">
      <c r="A11055" s="4">
        <v>11050</v>
      </c>
      <c r="B11055" s="3" t="str">
        <f>"00691076"</f>
        <v>00691076</v>
      </c>
    </row>
    <row r="11056" spans="1:2" x14ac:dyDescent="0.25">
      <c r="A11056" s="4">
        <v>11051</v>
      </c>
      <c r="B11056" s="3" t="str">
        <f>"00691079"</f>
        <v>00691079</v>
      </c>
    </row>
    <row r="11057" spans="1:2" x14ac:dyDescent="0.25">
      <c r="A11057" s="4">
        <v>11052</v>
      </c>
      <c r="B11057" s="3" t="str">
        <f>"00691080"</f>
        <v>00691080</v>
      </c>
    </row>
    <row r="11058" spans="1:2" x14ac:dyDescent="0.25">
      <c r="A11058" s="4">
        <v>11053</v>
      </c>
      <c r="B11058" s="3" t="str">
        <f>"00691082"</f>
        <v>00691082</v>
      </c>
    </row>
    <row r="11059" spans="1:2" x14ac:dyDescent="0.25">
      <c r="A11059" s="4">
        <v>11054</v>
      </c>
      <c r="B11059" s="3" t="str">
        <f>"00691083"</f>
        <v>00691083</v>
      </c>
    </row>
    <row r="11060" spans="1:2" x14ac:dyDescent="0.25">
      <c r="A11060" s="4">
        <v>11055</v>
      </c>
      <c r="B11060" s="3" t="str">
        <f>"00691087"</f>
        <v>00691087</v>
      </c>
    </row>
    <row r="11061" spans="1:2" x14ac:dyDescent="0.25">
      <c r="A11061" s="4">
        <v>11056</v>
      </c>
      <c r="B11061" s="3" t="str">
        <f>"00691092"</f>
        <v>00691092</v>
      </c>
    </row>
    <row r="11062" spans="1:2" x14ac:dyDescent="0.25">
      <c r="A11062" s="4">
        <v>11057</v>
      </c>
      <c r="B11062" s="3" t="str">
        <f>"00691097"</f>
        <v>00691097</v>
      </c>
    </row>
    <row r="11063" spans="1:2" x14ac:dyDescent="0.25">
      <c r="A11063" s="4">
        <v>11058</v>
      </c>
      <c r="B11063" s="3" t="str">
        <f>"00691100"</f>
        <v>00691100</v>
      </c>
    </row>
    <row r="11064" spans="1:2" x14ac:dyDescent="0.25">
      <c r="A11064" s="4">
        <v>11059</v>
      </c>
      <c r="B11064" s="3" t="str">
        <f>"00691103"</f>
        <v>00691103</v>
      </c>
    </row>
    <row r="11065" spans="1:2" x14ac:dyDescent="0.25">
      <c r="A11065" s="4">
        <v>11060</v>
      </c>
      <c r="B11065" s="3" t="str">
        <f>"00691115"</f>
        <v>00691115</v>
      </c>
    </row>
    <row r="11066" spans="1:2" x14ac:dyDescent="0.25">
      <c r="A11066" s="4">
        <v>11061</v>
      </c>
      <c r="B11066" s="3" t="str">
        <f>"00691121"</f>
        <v>00691121</v>
      </c>
    </row>
    <row r="11067" spans="1:2" x14ac:dyDescent="0.25">
      <c r="A11067" s="4">
        <v>11062</v>
      </c>
      <c r="B11067" s="3" t="str">
        <f>"00691122"</f>
        <v>00691122</v>
      </c>
    </row>
    <row r="11068" spans="1:2" x14ac:dyDescent="0.25">
      <c r="A11068" s="4">
        <v>11063</v>
      </c>
      <c r="B11068" s="3" t="str">
        <f>"00691129"</f>
        <v>00691129</v>
      </c>
    </row>
    <row r="11069" spans="1:2" x14ac:dyDescent="0.25">
      <c r="A11069" s="4">
        <v>11064</v>
      </c>
      <c r="B11069" s="3" t="str">
        <f>"00691133"</f>
        <v>00691133</v>
      </c>
    </row>
    <row r="11070" spans="1:2" x14ac:dyDescent="0.25">
      <c r="A11070" s="4">
        <v>11065</v>
      </c>
      <c r="B11070" s="3" t="str">
        <f>"00691137"</f>
        <v>00691137</v>
      </c>
    </row>
    <row r="11071" spans="1:2" x14ac:dyDescent="0.25">
      <c r="A11071" s="4">
        <v>11066</v>
      </c>
      <c r="B11071" s="3" t="str">
        <f>"00691151"</f>
        <v>00691151</v>
      </c>
    </row>
    <row r="11072" spans="1:2" x14ac:dyDescent="0.25">
      <c r="A11072" s="4">
        <v>11067</v>
      </c>
      <c r="B11072" s="3" t="str">
        <f>"00691157"</f>
        <v>00691157</v>
      </c>
    </row>
    <row r="11073" spans="1:2" x14ac:dyDescent="0.25">
      <c r="A11073" s="4">
        <v>11068</v>
      </c>
      <c r="B11073" s="3" t="str">
        <f>"00691161"</f>
        <v>00691161</v>
      </c>
    </row>
    <row r="11074" spans="1:2" x14ac:dyDescent="0.25">
      <c r="A11074" s="4">
        <v>11069</v>
      </c>
      <c r="B11074" s="3" t="str">
        <f>"00691171"</f>
        <v>00691171</v>
      </c>
    </row>
    <row r="11075" spans="1:2" x14ac:dyDescent="0.25">
      <c r="A11075" s="4">
        <v>11070</v>
      </c>
      <c r="B11075" s="3" t="str">
        <f>"00691174"</f>
        <v>00691174</v>
      </c>
    </row>
    <row r="11076" spans="1:2" x14ac:dyDescent="0.25">
      <c r="A11076" s="4">
        <v>11071</v>
      </c>
      <c r="B11076" s="3" t="str">
        <f>"00691179"</f>
        <v>00691179</v>
      </c>
    </row>
    <row r="11077" spans="1:2" x14ac:dyDescent="0.25">
      <c r="A11077" s="4">
        <v>11072</v>
      </c>
      <c r="B11077" s="3" t="str">
        <f>"00691186"</f>
        <v>00691186</v>
      </c>
    </row>
    <row r="11078" spans="1:2" x14ac:dyDescent="0.25">
      <c r="A11078" s="4">
        <v>11073</v>
      </c>
      <c r="B11078" s="3" t="str">
        <f>"00691208"</f>
        <v>00691208</v>
      </c>
    </row>
    <row r="11079" spans="1:2" x14ac:dyDescent="0.25">
      <c r="A11079" s="4">
        <v>11074</v>
      </c>
      <c r="B11079" s="3" t="str">
        <f>"00691212"</f>
        <v>00691212</v>
      </c>
    </row>
    <row r="11080" spans="1:2" x14ac:dyDescent="0.25">
      <c r="A11080" s="4">
        <v>11075</v>
      </c>
      <c r="B11080" s="3" t="str">
        <f>"00691213"</f>
        <v>00691213</v>
      </c>
    </row>
    <row r="11081" spans="1:2" x14ac:dyDescent="0.25">
      <c r="A11081" s="4">
        <v>11076</v>
      </c>
      <c r="B11081" s="3" t="str">
        <f>"00691219"</f>
        <v>00691219</v>
      </c>
    </row>
    <row r="11082" spans="1:2" x14ac:dyDescent="0.25">
      <c r="A11082" s="4">
        <v>11077</v>
      </c>
      <c r="B11082" s="3" t="str">
        <f>"00691225"</f>
        <v>00691225</v>
      </c>
    </row>
    <row r="11083" spans="1:2" x14ac:dyDescent="0.25">
      <c r="A11083" s="4">
        <v>11078</v>
      </c>
      <c r="B11083" s="3" t="str">
        <f>"00691231"</f>
        <v>00691231</v>
      </c>
    </row>
    <row r="11084" spans="1:2" x14ac:dyDescent="0.25">
      <c r="A11084" s="4">
        <v>11079</v>
      </c>
      <c r="B11084" s="3" t="str">
        <f>"00691233"</f>
        <v>00691233</v>
      </c>
    </row>
    <row r="11085" spans="1:2" x14ac:dyDescent="0.25">
      <c r="A11085" s="4">
        <v>11080</v>
      </c>
      <c r="B11085" s="3" t="str">
        <f>"00691238"</f>
        <v>00691238</v>
      </c>
    </row>
    <row r="11086" spans="1:2" x14ac:dyDescent="0.25">
      <c r="A11086" s="4">
        <v>11081</v>
      </c>
      <c r="B11086" s="3" t="str">
        <f>"00691244"</f>
        <v>00691244</v>
      </c>
    </row>
    <row r="11087" spans="1:2" x14ac:dyDescent="0.25">
      <c r="A11087" s="4">
        <v>11082</v>
      </c>
      <c r="B11087" s="3" t="str">
        <f>"00691247"</f>
        <v>00691247</v>
      </c>
    </row>
    <row r="11088" spans="1:2" x14ac:dyDescent="0.25">
      <c r="A11088" s="4">
        <v>11083</v>
      </c>
      <c r="B11088" s="3" t="str">
        <f>"00691248"</f>
        <v>00691248</v>
      </c>
    </row>
    <row r="11089" spans="1:2" x14ac:dyDescent="0.25">
      <c r="A11089" s="4">
        <v>11084</v>
      </c>
      <c r="B11089" s="3" t="str">
        <f>"00691254"</f>
        <v>00691254</v>
      </c>
    </row>
    <row r="11090" spans="1:2" x14ac:dyDescent="0.25">
      <c r="A11090" s="4">
        <v>11085</v>
      </c>
      <c r="B11090" s="3" t="str">
        <f>"00691255"</f>
        <v>00691255</v>
      </c>
    </row>
    <row r="11091" spans="1:2" x14ac:dyDescent="0.25">
      <c r="A11091" s="4">
        <v>11086</v>
      </c>
      <c r="B11091" s="3" t="str">
        <f>"00691260"</f>
        <v>00691260</v>
      </c>
    </row>
    <row r="11092" spans="1:2" x14ac:dyDescent="0.25">
      <c r="A11092" s="4">
        <v>11087</v>
      </c>
      <c r="B11092" s="3" t="str">
        <f>"00691264"</f>
        <v>00691264</v>
      </c>
    </row>
    <row r="11093" spans="1:2" x14ac:dyDescent="0.25">
      <c r="A11093" s="4">
        <v>11088</v>
      </c>
      <c r="B11093" s="3" t="str">
        <f>"00691265"</f>
        <v>00691265</v>
      </c>
    </row>
    <row r="11094" spans="1:2" x14ac:dyDescent="0.25">
      <c r="A11094" s="4">
        <v>11089</v>
      </c>
      <c r="B11094" s="3" t="str">
        <f>"00691272"</f>
        <v>00691272</v>
      </c>
    </row>
    <row r="11095" spans="1:2" x14ac:dyDescent="0.25">
      <c r="A11095" s="4">
        <v>11090</v>
      </c>
      <c r="B11095" s="3" t="str">
        <f>"00691283"</f>
        <v>00691283</v>
      </c>
    </row>
    <row r="11096" spans="1:2" x14ac:dyDescent="0.25">
      <c r="A11096" s="4">
        <v>11091</v>
      </c>
      <c r="B11096" s="3" t="str">
        <f>"00691290"</f>
        <v>00691290</v>
      </c>
    </row>
    <row r="11097" spans="1:2" x14ac:dyDescent="0.25">
      <c r="A11097" s="4">
        <v>11092</v>
      </c>
      <c r="B11097" s="3" t="str">
        <f>"00691295"</f>
        <v>00691295</v>
      </c>
    </row>
    <row r="11098" spans="1:2" x14ac:dyDescent="0.25">
      <c r="A11098" s="4">
        <v>11093</v>
      </c>
      <c r="B11098" s="3" t="str">
        <f>"00691296"</f>
        <v>00691296</v>
      </c>
    </row>
    <row r="11099" spans="1:2" x14ac:dyDescent="0.25">
      <c r="A11099" s="4">
        <v>11094</v>
      </c>
      <c r="B11099" s="3" t="str">
        <f>"00691300"</f>
        <v>00691300</v>
      </c>
    </row>
    <row r="11100" spans="1:2" x14ac:dyDescent="0.25">
      <c r="A11100" s="4">
        <v>11095</v>
      </c>
      <c r="B11100" s="3" t="str">
        <f>"00691306"</f>
        <v>00691306</v>
      </c>
    </row>
    <row r="11101" spans="1:2" x14ac:dyDescent="0.25">
      <c r="A11101" s="4">
        <v>11096</v>
      </c>
      <c r="B11101" s="3" t="str">
        <f>"00691315"</f>
        <v>00691315</v>
      </c>
    </row>
    <row r="11102" spans="1:2" x14ac:dyDescent="0.25">
      <c r="A11102" s="4">
        <v>11097</v>
      </c>
      <c r="B11102" s="3" t="str">
        <f>"00691319"</f>
        <v>00691319</v>
      </c>
    </row>
    <row r="11103" spans="1:2" x14ac:dyDescent="0.25">
      <c r="A11103" s="4">
        <v>11098</v>
      </c>
      <c r="B11103" s="3" t="str">
        <f>"00691324"</f>
        <v>00691324</v>
      </c>
    </row>
    <row r="11104" spans="1:2" x14ac:dyDescent="0.25">
      <c r="A11104" s="4">
        <v>11099</v>
      </c>
      <c r="B11104" s="3" t="str">
        <f>"00691334"</f>
        <v>00691334</v>
      </c>
    </row>
    <row r="11105" spans="1:2" x14ac:dyDescent="0.25">
      <c r="A11105" s="4">
        <v>11100</v>
      </c>
      <c r="B11105" s="3" t="str">
        <f>"00691353"</f>
        <v>00691353</v>
      </c>
    </row>
    <row r="11106" spans="1:2" x14ac:dyDescent="0.25">
      <c r="A11106" s="4">
        <v>11101</v>
      </c>
      <c r="B11106" s="3" t="str">
        <f>"00691354"</f>
        <v>00691354</v>
      </c>
    </row>
    <row r="11107" spans="1:2" x14ac:dyDescent="0.25">
      <c r="A11107" s="4">
        <v>11102</v>
      </c>
      <c r="B11107" s="3" t="str">
        <f>"00691374"</f>
        <v>00691374</v>
      </c>
    </row>
    <row r="11108" spans="1:2" x14ac:dyDescent="0.25">
      <c r="A11108" s="4">
        <v>11103</v>
      </c>
      <c r="B11108" s="3" t="str">
        <f>"00691384"</f>
        <v>00691384</v>
      </c>
    </row>
    <row r="11109" spans="1:2" x14ac:dyDescent="0.25">
      <c r="A11109" s="4">
        <v>11104</v>
      </c>
      <c r="B11109" s="3" t="str">
        <f>"00691388"</f>
        <v>00691388</v>
      </c>
    </row>
    <row r="11110" spans="1:2" x14ac:dyDescent="0.25">
      <c r="A11110" s="4">
        <v>11105</v>
      </c>
      <c r="B11110" s="3" t="str">
        <f>"00691406"</f>
        <v>00691406</v>
      </c>
    </row>
    <row r="11111" spans="1:2" x14ac:dyDescent="0.25">
      <c r="A11111" s="4">
        <v>11106</v>
      </c>
      <c r="B11111" s="3" t="str">
        <f>"00691413"</f>
        <v>00691413</v>
      </c>
    </row>
    <row r="11112" spans="1:2" x14ac:dyDescent="0.25">
      <c r="A11112" s="4">
        <v>11107</v>
      </c>
      <c r="B11112" s="3" t="str">
        <f>"00691417"</f>
        <v>00691417</v>
      </c>
    </row>
    <row r="11113" spans="1:2" x14ac:dyDescent="0.25">
      <c r="A11113" s="4">
        <v>11108</v>
      </c>
      <c r="B11113" s="3" t="str">
        <f>"00691427"</f>
        <v>00691427</v>
      </c>
    </row>
    <row r="11114" spans="1:2" x14ac:dyDescent="0.25">
      <c r="A11114" s="4">
        <v>11109</v>
      </c>
      <c r="B11114" s="3" t="str">
        <f>"00691432"</f>
        <v>00691432</v>
      </c>
    </row>
    <row r="11115" spans="1:2" x14ac:dyDescent="0.25">
      <c r="A11115" s="4">
        <v>11110</v>
      </c>
      <c r="B11115" s="3" t="str">
        <f>"00691474"</f>
        <v>00691474</v>
      </c>
    </row>
    <row r="11116" spans="1:2" x14ac:dyDescent="0.25">
      <c r="A11116" s="4">
        <v>11111</v>
      </c>
      <c r="B11116" s="3" t="str">
        <f>"00691485"</f>
        <v>00691485</v>
      </c>
    </row>
    <row r="11117" spans="1:2" x14ac:dyDescent="0.25">
      <c r="A11117" s="4">
        <v>11112</v>
      </c>
      <c r="B11117" s="3" t="str">
        <f>"00691494"</f>
        <v>00691494</v>
      </c>
    </row>
    <row r="11118" spans="1:2" x14ac:dyDescent="0.25">
      <c r="A11118" s="4">
        <v>11113</v>
      </c>
      <c r="B11118" s="3" t="str">
        <f>"00691495"</f>
        <v>00691495</v>
      </c>
    </row>
    <row r="11119" spans="1:2" x14ac:dyDescent="0.25">
      <c r="A11119" s="4">
        <v>11114</v>
      </c>
      <c r="B11119" s="3" t="str">
        <f>"00691500"</f>
        <v>00691500</v>
      </c>
    </row>
    <row r="11120" spans="1:2" x14ac:dyDescent="0.25">
      <c r="A11120" s="4">
        <v>11115</v>
      </c>
      <c r="B11120" s="3" t="str">
        <f>"00691515"</f>
        <v>00691515</v>
      </c>
    </row>
    <row r="11121" spans="1:2" x14ac:dyDescent="0.25">
      <c r="A11121" s="4">
        <v>11116</v>
      </c>
      <c r="B11121" s="3" t="str">
        <f>"00691519"</f>
        <v>00691519</v>
      </c>
    </row>
    <row r="11122" spans="1:2" x14ac:dyDescent="0.25">
      <c r="A11122" s="4">
        <v>11117</v>
      </c>
      <c r="B11122" s="3" t="str">
        <f>"00691521"</f>
        <v>00691521</v>
      </c>
    </row>
    <row r="11123" spans="1:2" x14ac:dyDescent="0.25">
      <c r="A11123" s="4">
        <v>11118</v>
      </c>
      <c r="B11123" s="3" t="str">
        <f>"00691526"</f>
        <v>00691526</v>
      </c>
    </row>
    <row r="11124" spans="1:2" x14ac:dyDescent="0.25">
      <c r="A11124" s="4">
        <v>11119</v>
      </c>
      <c r="B11124" s="3" t="str">
        <f>"00691529"</f>
        <v>00691529</v>
      </c>
    </row>
    <row r="11125" spans="1:2" x14ac:dyDescent="0.25">
      <c r="A11125" s="4">
        <v>11120</v>
      </c>
      <c r="B11125" s="3" t="str">
        <f>"00691540"</f>
        <v>00691540</v>
      </c>
    </row>
    <row r="11126" spans="1:2" x14ac:dyDescent="0.25">
      <c r="A11126" s="4">
        <v>11121</v>
      </c>
      <c r="B11126" s="3" t="str">
        <f>"00691545"</f>
        <v>00691545</v>
      </c>
    </row>
    <row r="11127" spans="1:2" x14ac:dyDescent="0.25">
      <c r="A11127" s="4">
        <v>11122</v>
      </c>
      <c r="B11127" s="3" t="str">
        <f>"00691557"</f>
        <v>00691557</v>
      </c>
    </row>
    <row r="11128" spans="1:2" x14ac:dyDescent="0.25">
      <c r="A11128" s="4">
        <v>11123</v>
      </c>
      <c r="B11128" s="3" t="str">
        <f>"00691566"</f>
        <v>00691566</v>
      </c>
    </row>
    <row r="11129" spans="1:2" x14ac:dyDescent="0.25">
      <c r="A11129" s="4">
        <v>11124</v>
      </c>
      <c r="B11129" s="3" t="str">
        <f>"00691579"</f>
        <v>00691579</v>
      </c>
    </row>
    <row r="11130" spans="1:2" x14ac:dyDescent="0.25">
      <c r="A11130" s="4">
        <v>11125</v>
      </c>
      <c r="B11130" s="3" t="str">
        <f>"00691585"</f>
        <v>00691585</v>
      </c>
    </row>
    <row r="11131" spans="1:2" x14ac:dyDescent="0.25">
      <c r="A11131" s="4">
        <v>11126</v>
      </c>
      <c r="B11131" s="3" t="str">
        <f>"00691596"</f>
        <v>00691596</v>
      </c>
    </row>
    <row r="11132" spans="1:2" x14ac:dyDescent="0.25">
      <c r="A11132" s="4">
        <v>11127</v>
      </c>
      <c r="B11132" s="3" t="str">
        <f>"00691607"</f>
        <v>00691607</v>
      </c>
    </row>
    <row r="11133" spans="1:2" x14ac:dyDescent="0.25">
      <c r="A11133" s="4">
        <v>11128</v>
      </c>
      <c r="B11133" s="3" t="str">
        <f>"00691614"</f>
        <v>00691614</v>
      </c>
    </row>
    <row r="11134" spans="1:2" x14ac:dyDescent="0.25">
      <c r="A11134" s="4">
        <v>11129</v>
      </c>
      <c r="B11134" s="3" t="str">
        <f>"00691621"</f>
        <v>00691621</v>
      </c>
    </row>
    <row r="11135" spans="1:2" x14ac:dyDescent="0.25">
      <c r="A11135" s="4">
        <v>11130</v>
      </c>
      <c r="B11135" s="3" t="str">
        <f>"00691652"</f>
        <v>00691652</v>
      </c>
    </row>
    <row r="11136" spans="1:2" x14ac:dyDescent="0.25">
      <c r="A11136" s="4">
        <v>11131</v>
      </c>
      <c r="B11136" s="3" t="str">
        <f>"00691662"</f>
        <v>00691662</v>
      </c>
    </row>
    <row r="11137" spans="1:2" x14ac:dyDescent="0.25">
      <c r="A11137" s="4">
        <v>11132</v>
      </c>
      <c r="B11137" s="3" t="str">
        <f>"00691692"</f>
        <v>00691692</v>
      </c>
    </row>
    <row r="11138" spans="1:2" x14ac:dyDescent="0.25">
      <c r="A11138" s="4">
        <v>11133</v>
      </c>
      <c r="B11138" s="3" t="str">
        <f>"00691805"</f>
        <v>00691805</v>
      </c>
    </row>
    <row r="11139" spans="1:2" x14ac:dyDescent="0.25">
      <c r="A11139" s="4">
        <v>11134</v>
      </c>
      <c r="B11139" s="3" t="str">
        <f>"00691829"</f>
        <v>00691829</v>
      </c>
    </row>
    <row r="11140" spans="1:2" x14ac:dyDescent="0.25">
      <c r="A11140" s="4">
        <v>11135</v>
      </c>
      <c r="B11140" s="3" t="str">
        <f>"00691832"</f>
        <v>00691832</v>
      </c>
    </row>
    <row r="11141" spans="1:2" x14ac:dyDescent="0.25">
      <c r="A11141" s="4">
        <v>11136</v>
      </c>
      <c r="B11141" s="3" t="str">
        <f>"00691844"</f>
        <v>00691844</v>
      </c>
    </row>
    <row r="11142" spans="1:2" x14ac:dyDescent="0.25">
      <c r="A11142" s="4">
        <v>11137</v>
      </c>
      <c r="B11142" s="3" t="str">
        <f>"00691852"</f>
        <v>00691852</v>
      </c>
    </row>
    <row r="11143" spans="1:2" x14ac:dyDescent="0.25">
      <c r="A11143" s="4">
        <v>11138</v>
      </c>
      <c r="B11143" s="3" t="str">
        <f>"00691854"</f>
        <v>00691854</v>
      </c>
    </row>
    <row r="11144" spans="1:2" x14ac:dyDescent="0.25">
      <c r="A11144" s="4">
        <v>11139</v>
      </c>
      <c r="B11144" s="3" t="str">
        <f>"00691857"</f>
        <v>00691857</v>
      </c>
    </row>
    <row r="11145" spans="1:2" x14ac:dyDescent="0.25">
      <c r="A11145" s="4">
        <v>11140</v>
      </c>
      <c r="B11145" s="3" t="str">
        <f>"00691871"</f>
        <v>00691871</v>
      </c>
    </row>
    <row r="11146" spans="1:2" x14ac:dyDescent="0.25">
      <c r="A11146" s="4">
        <v>11141</v>
      </c>
      <c r="B11146" s="3" t="str">
        <f>"00691877"</f>
        <v>00691877</v>
      </c>
    </row>
    <row r="11147" spans="1:2" x14ac:dyDescent="0.25">
      <c r="A11147" s="4">
        <v>11142</v>
      </c>
      <c r="B11147" s="3" t="str">
        <f>"00691881"</f>
        <v>00691881</v>
      </c>
    </row>
    <row r="11148" spans="1:2" x14ac:dyDescent="0.25">
      <c r="A11148" s="4">
        <v>11143</v>
      </c>
      <c r="B11148" s="3" t="str">
        <f>"00691887"</f>
        <v>00691887</v>
      </c>
    </row>
    <row r="11149" spans="1:2" x14ac:dyDescent="0.25">
      <c r="A11149" s="4">
        <v>11144</v>
      </c>
      <c r="B11149" s="3" t="str">
        <f>"00691893"</f>
        <v>00691893</v>
      </c>
    </row>
    <row r="11150" spans="1:2" x14ac:dyDescent="0.25">
      <c r="A11150" s="4">
        <v>11145</v>
      </c>
      <c r="B11150" s="3" t="str">
        <f>"00691894"</f>
        <v>00691894</v>
      </c>
    </row>
    <row r="11151" spans="1:2" x14ac:dyDescent="0.25">
      <c r="A11151" s="4">
        <v>11146</v>
      </c>
      <c r="B11151" s="3" t="str">
        <f>"00691896"</f>
        <v>00691896</v>
      </c>
    </row>
    <row r="11152" spans="1:2" x14ac:dyDescent="0.25">
      <c r="A11152" s="4">
        <v>11147</v>
      </c>
      <c r="B11152" s="3" t="str">
        <f>"00691899"</f>
        <v>00691899</v>
      </c>
    </row>
    <row r="11153" spans="1:2" x14ac:dyDescent="0.25">
      <c r="A11153" s="4">
        <v>11148</v>
      </c>
      <c r="B11153" s="3" t="str">
        <f>"00691902"</f>
        <v>00691902</v>
      </c>
    </row>
    <row r="11154" spans="1:2" x14ac:dyDescent="0.25">
      <c r="A11154" s="4">
        <v>11149</v>
      </c>
      <c r="B11154" s="3" t="str">
        <f>"00691905"</f>
        <v>00691905</v>
      </c>
    </row>
    <row r="11155" spans="1:2" x14ac:dyDescent="0.25">
      <c r="A11155" s="4">
        <v>11150</v>
      </c>
      <c r="B11155" s="3" t="str">
        <f>"00691906"</f>
        <v>00691906</v>
      </c>
    </row>
    <row r="11156" spans="1:2" x14ac:dyDescent="0.25">
      <c r="A11156" s="4">
        <v>11151</v>
      </c>
      <c r="B11156" s="3" t="str">
        <f>"00691918"</f>
        <v>00691918</v>
      </c>
    </row>
    <row r="11157" spans="1:2" x14ac:dyDescent="0.25">
      <c r="A11157" s="4">
        <v>11152</v>
      </c>
      <c r="B11157" s="3" t="str">
        <f>"00691919"</f>
        <v>00691919</v>
      </c>
    </row>
    <row r="11158" spans="1:2" x14ac:dyDescent="0.25">
      <c r="A11158" s="4">
        <v>11153</v>
      </c>
      <c r="B11158" s="3" t="str">
        <f>"00691923"</f>
        <v>00691923</v>
      </c>
    </row>
    <row r="11159" spans="1:2" x14ac:dyDescent="0.25">
      <c r="A11159" s="4">
        <v>11154</v>
      </c>
      <c r="B11159" s="3" t="str">
        <f>"00691926"</f>
        <v>00691926</v>
      </c>
    </row>
    <row r="11160" spans="1:2" x14ac:dyDescent="0.25">
      <c r="A11160" s="4">
        <v>11155</v>
      </c>
      <c r="B11160" s="3" t="str">
        <f>"00691929"</f>
        <v>00691929</v>
      </c>
    </row>
    <row r="11161" spans="1:2" x14ac:dyDescent="0.25">
      <c r="A11161" s="4">
        <v>11156</v>
      </c>
      <c r="B11161" s="3" t="str">
        <f>"00691931"</f>
        <v>00691931</v>
      </c>
    </row>
    <row r="11162" spans="1:2" x14ac:dyDescent="0.25">
      <c r="A11162" s="4">
        <v>11157</v>
      </c>
      <c r="B11162" s="3" t="str">
        <f>"00691938"</f>
        <v>00691938</v>
      </c>
    </row>
    <row r="11163" spans="1:2" x14ac:dyDescent="0.25">
      <c r="A11163" s="4">
        <v>11158</v>
      </c>
      <c r="B11163" s="3" t="str">
        <f>"00691947"</f>
        <v>00691947</v>
      </c>
    </row>
    <row r="11164" spans="1:2" x14ac:dyDescent="0.25">
      <c r="A11164" s="4">
        <v>11159</v>
      </c>
      <c r="B11164" s="3" t="str">
        <f>"00691953"</f>
        <v>00691953</v>
      </c>
    </row>
    <row r="11165" spans="1:2" x14ac:dyDescent="0.25">
      <c r="A11165" s="4">
        <v>11160</v>
      </c>
      <c r="B11165" s="3" t="str">
        <f>"00691957"</f>
        <v>00691957</v>
      </c>
    </row>
    <row r="11166" spans="1:2" x14ac:dyDescent="0.25">
      <c r="A11166" s="4">
        <v>11161</v>
      </c>
      <c r="B11166" s="3" t="str">
        <f>"00691966"</f>
        <v>00691966</v>
      </c>
    </row>
    <row r="11167" spans="1:2" x14ac:dyDescent="0.25">
      <c r="A11167" s="4">
        <v>11162</v>
      </c>
      <c r="B11167" s="3" t="str">
        <f>"00691968"</f>
        <v>00691968</v>
      </c>
    </row>
    <row r="11168" spans="1:2" x14ac:dyDescent="0.25">
      <c r="A11168" s="4">
        <v>11163</v>
      </c>
      <c r="B11168" s="3" t="str">
        <f>"00691975"</f>
        <v>00691975</v>
      </c>
    </row>
    <row r="11169" spans="1:2" x14ac:dyDescent="0.25">
      <c r="A11169" s="4">
        <v>11164</v>
      </c>
      <c r="B11169" s="3" t="str">
        <f>"00691983"</f>
        <v>00691983</v>
      </c>
    </row>
    <row r="11170" spans="1:2" x14ac:dyDescent="0.25">
      <c r="A11170" s="4">
        <v>11165</v>
      </c>
      <c r="B11170" s="3" t="str">
        <f>"00691989"</f>
        <v>00691989</v>
      </c>
    </row>
    <row r="11171" spans="1:2" x14ac:dyDescent="0.25">
      <c r="A11171" s="4">
        <v>11166</v>
      </c>
      <c r="B11171" s="3" t="str">
        <f>"00691995"</f>
        <v>00691995</v>
      </c>
    </row>
    <row r="11172" spans="1:2" x14ac:dyDescent="0.25">
      <c r="A11172" s="4">
        <v>11167</v>
      </c>
      <c r="B11172" s="3" t="str">
        <f>"00691996"</f>
        <v>00691996</v>
      </c>
    </row>
    <row r="11173" spans="1:2" x14ac:dyDescent="0.25">
      <c r="A11173" s="4">
        <v>11168</v>
      </c>
      <c r="B11173" s="3" t="str">
        <f>"00692009"</f>
        <v>00692009</v>
      </c>
    </row>
    <row r="11174" spans="1:2" x14ac:dyDescent="0.25">
      <c r="A11174" s="4">
        <v>11169</v>
      </c>
      <c r="B11174" s="3" t="str">
        <f>"00692015"</f>
        <v>00692015</v>
      </c>
    </row>
    <row r="11175" spans="1:2" x14ac:dyDescent="0.25">
      <c r="A11175" s="4">
        <v>11170</v>
      </c>
      <c r="B11175" s="3" t="str">
        <f>"00692021"</f>
        <v>00692021</v>
      </c>
    </row>
    <row r="11176" spans="1:2" x14ac:dyDescent="0.25">
      <c r="A11176" s="4">
        <v>11171</v>
      </c>
      <c r="B11176" s="3" t="str">
        <f>"00692028"</f>
        <v>00692028</v>
      </c>
    </row>
    <row r="11177" spans="1:2" x14ac:dyDescent="0.25">
      <c r="A11177" s="4">
        <v>11172</v>
      </c>
      <c r="B11177" s="3" t="str">
        <f>"00692036"</f>
        <v>00692036</v>
      </c>
    </row>
    <row r="11178" spans="1:2" x14ac:dyDescent="0.25">
      <c r="A11178" s="4">
        <v>11173</v>
      </c>
      <c r="B11178" s="3" t="str">
        <f>"00692039"</f>
        <v>00692039</v>
      </c>
    </row>
    <row r="11179" spans="1:2" x14ac:dyDescent="0.25">
      <c r="A11179" s="4">
        <v>11174</v>
      </c>
      <c r="B11179" s="3" t="str">
        <f>"00692040"</f>
        <v>00692040</v>
      </c>
    </row>
    <row r="11180" spans="1:2" x14ac:dyDescent="0.25">
      <c r="A11180" s="4">
        <v>11175</v>
      </c>
      <c r="B11180" s="3" t="str">
        <f>"00692047"</f>
        <v>00692047</v>
      </c>
    </row>
    <row r="11181" spans="1:2" x14ac:dyDescent="0.25">
      <c r="A11181" s="4">
        <v>11176</v>
      </c>
      <c r="B11181" s="3" t="str">
        <f>"00692052"</f>
        <v>00692052</v>
      </c>
    </row>
    <row r="11182" spans="1:2" x14ac:dyDescent="0.25">
      <c r="A11182" s="4">
        <v>11177</v>
      </c>
      <c r="B11182" s="3" t="str">
        <f>"00692055"</f>
        <v>00692055</v>
      </c>
    </row>
    <row r="11183" spans="1:2" x14ac:dyDescent="0.25">
      <c r="A11183" s="4">
        <v>11178</v>
      </c>
      <c r="B11183" s="3" t="str">
        <f>"00692059"</f>
        <v>00692059</v>
      </c>
    </row>
    <row r="11184" spans="1:2" x14ac:dyDescent="0.25">
      <c r="A11184" s="4">
        <v>11179</v>
      </c>
      <c r="B11184" s="3" t="str">
        <f>"00692086"</f>
        <v>00692086</v>
      </c>
    </row>
    <row r="11185" spans="1:2" x14ac:dyDescent="0.25">
      <c r="A11185" s="4">
        <v>11180</v>
      </c>
      <c r="B11185" s="3" t="str">
        <f>"00692087"</f>
        <v>00692087</v>
      </c>
    </row>
    <row r="11186" spans="1:2" x14ac:dyDescent="0.25">
      <c r="A11186" s="4">
        <v>11181</v>
      </c>
      <c r="B11186" s="3" t="str">
        <f>"00692088"</f>
        <v>00692088</v>
      </c>
    </row>
    <row r="11187" spans="1:2" x14ac:dyDescent="0.25">
      <c r="A11187" s="4">
        <v>11182</v>
      </c>
      <c r="B11187" s="3" t="str">
        <f>"00692093"</f>
        <v>00692093</v>
      </c>
    </row>
    <row r="11188" spans="1:2" x14ac:dyDescent="0.25">
      <c r="A11188" s="4">
        <v>11183</v>
      </c>
      <c r="B11188" s="3" t="str">
        <f>"00692094"</f>
        <v>00692094</v>
      </c>
    </row>
    <row r="11189" spans="1:2" x14ac:dyDescent="0.25">
      <c r="A11189" s="4">
        <v>11184</v>
      </c>
      <c r="B11189" s="3" t="str">
        <f>"00692099"</f>
        <v>00692099</v>
      </c>
    </row>
    <row r="11190" spans="1:2" x14ac:dyDescent="0.25">
      <c r="A11190" s="4">
        <v>11185</v>
      </c>
      <c r="B11190" s="3" t="str">
        <f>"00692100"</f>
        <v>00692100</v>
      </c>
    </row>
    <row r="11191" spans="1:2" x14ac:dyDescent="0.25">
      <c r="A11191" s="4">
        <v>11186</v>
      </c>
      <c r="B11191" s="3" t="str">
        <f>"00692109"</f>
        <v>00692109</v>
      </c>
    </row>
    <row r="11192" spans="1:2" x14ac:dyDescent="0.25">
      <c r="A11192" s="4">
        <v>11187</v>
      </c>
      <c r="B11192" s="3" t="str">
        <f>"00692112"</f>
        <v>00692112</v>
      </c>
    </row>
    <row r="11193" spans="1:2" x14ac:dyDescent="0.25">
      <c r="A11193" s="4">
        <v>11188</v>
      </c>
      <c r="B11193" s="3" t="str">
        <f>"00692121"</f>
        <v>00692121</v>
      </c>
    </row>
    <row r="11194" spans="1:2" x14ac:dyDescent="0.25">
      <c r="A11194" s="4">
        <v>11189</v>
      </c>
      <c r="B11194" s="3" t="str">
        <f>"00692122"</f>
        <v>00692122</v>
      </c>
    </row>
    <row r="11195" spans="1:2" x14ac:dyDescent="0.25">
      <c r="A11195" s="4">
        <v>11190</v>
      </c>
      <c r="B11195" s="3" t="str">
        <f>"00692123"</f>
        <v>00692123</v>
      </c>
    </row>
    <row r="11196" spans="1:2" x14ac:dyDescent="0.25">
      <c r="A11196" s="4">
        <v>11191</v>
      </c>
      <c r="B11196" s="3" t="str">
        <f>"00692133"</f>
        <v>00692133</v>
      </c>
    </row>
    <row r="11197" spans="1:2" x14ac:dyDescent="0.25">
      <c r="A11197" s="4">
        <v>11192</v>
      </c>
      <c r="B11197" s="3" t="str">
        <f>"00692134"</f>
        <v>00692134</v>
      </c>
    </row>
    <row r="11198" spans="1:2" x14ac:dyDescent="0.25">
      <c r="A11198" s="4">
        <v>11193</v>
      </c>
      <c r="B11198" s="3" t="str">
        <f>"00692136"</f>
        <v>00692136</v>
      </c>
    </row>
    <row r="11199" spans="1:2" x14ac:dyDescent="0.25">
      <c r="A11199" s="4">
        <v>11194</v>
      </c>
      <c r="B11199" s="3" t="str">
        <f>"00692152"</f>
        <v>00692152</v>
      </c>
    </row>
    <row r="11200" spans="1:2" x14ac:dyDescent="0.25">
      <c r="A11200" s="4">
        <v>11195</v>
      </c>
      <c r="B11200" s="3" t="str">
        <f>"00692156"</f>
        <v>00692156</v>
      </c>
    </row>
    <row r="11201" spans="1:2" x14ac:dyDescent="0.25">
      <c r="A11201" s="4">
        <v>11196</v>
      </c>
      <c r="B11201" s="3" t="str">
        <f>"00692157"</f>
        <v>00692157</v>
      </c>
    </row>
    <row r="11202" spans="1:2" x14ac:dyDescent="0.25">
      <c r="A11202" s="4">
        <v>11197</v>
      </c>
      <c r="B11202" s="3" t="str">
        <f>"00692167"</f>
        <v>00692167</v>
      </c>
    </row>
    <row r="11203" spans="1:2" x14ac:dyDescent="0.25">
      <c r="A11203" s="4">
        <v>11198</v>
      </c>
      <c r="B11203" s="3" t="str">
        <f>"00692170"</f>
        <v>00692170</v>
      </c>
    </row>
    <row r="11204" spans="1:2" x14ac:dyDescent="0.25">
      <c r="A11204" s="4">
        <v>11199</v>
      </c>
      <c r="B11204" s="3" t="str">
        <f>"00692172"</f>
        <v>00692172</v>
      </c>
    </row>
    <row r="11205" spans="1:2" x14ac:dyDescent="0.25">
      <c r="A11205" s="4">
        <v>11200</v>
      </c>
      <c r="B11205" s="3" t="str">
        <f>"00692174"</f>
        <v>00692174</v>
      </c>
    </row>
    <row r="11206" spans="1:2" x14ac:dyDescent="0.25">
      <c r="A11206" s="4">
        <v>11201</v>
      </c>
      <c r="B11206" s="3" t="str">
        <f>"00692181"</f>
        <v>00692181</v>
      </c>
    </row>
    <row r="11207" spans="1:2" x14ac:dyDescent="0.25">
      <c r="A11207" s="4">
        <v>11202</v>
      </c>
      <c r="B11207" s="3" t="str">
        <f>"00692183"</f>
        <v>00692183</v>
      </c>
    </row>
    <row r="11208" spans="1:2" x14ac:dyDescent="0.25">
      <c r="A11208" s="4">
        <v>11203</v>
      </c>
      <c r="B11208" s="3" t="str">
        <f>"00692191"</f>
        <v>00692191</v>
      </c>
    </row>
    <row r="11209" spans="1:2" x14ac:dyDescent="0.25">
      <c r="A11209" s="4">
        <v>11204</v>
      </c>
      <c r="B11209" s="3" t="str">
        <f>"00692194"</f>
        <v>00692194</v>
      </c>
    </row>
    <row r="11210" spans="1:2" x14ac:dyDescent="0.25">
      <c r="A11210" s="4">
        <v>11205</v>
      </c>
      <c r="B11210" s="3" t="str">
        <f>"00692207"</f>
        <v>00692207</v>
      </c>
    </row>
    <row r="11211" spans="1:2" x14ac:dyDescent="0.25">
      <c r="A11211" s="4">
        <v>11206</v>
      </c>
      <c r="B11211" s="3" t="str">
        <f>"00692211"</f>
        <v>00692211</v>
      </c>
    </row>
    <row r="11212" spans="1:2" x14ac:dyDescent="0.25">
      <c r="A11212" s="4">
        <v>11207</v>
      </c>
      <c r="B11212" s="3" t="str">
        <f>"00692221"</f>
        <v>00692221</v>
      </c>
    </row>
    <row r="11213" spans="1:2" x14ac:dyDescent="0.25">
      <c r="A11213" s="4">
        <v>11208</v>
      </c>
      <c r="B11213" s="3" t="str">
        <f>"00692225"</f>
        <v>00692225</v>
      </c>
    </row>
    <row r="11214" spans="1:2" x14ac:dyDescent="0.25">
      <c r="A11214" s="4">
        <v>11209</v>
      </c>
      <c r="B11214" s="3" t="str">
        <f>"00692229"</f>
        <v>00692229</v>
      </c>
    </row>
    <row r="11215" spans="1:2" x14ac:dyDescent="0.25">
      <c r="A11215" s="4">
        <v>11210</v>
      </c>
      <c r="B11215" s="3" t="str">
        <f>"00692232"</f>
        <v>00692232</v>
      </c>
    </row>
    <row r="11216" spans="1:2" x14ac:dyDescent="0.25">
      <c r="A11216" s="4">
        <v>11211</v>
      </c>
      <c r="B11216" s="3" t="str">
        <f>"00692234"</f>
        <v>00692234</v>
      </c>
    </row>
    <row r="11217" spans="1:2" x14ac:dyDescent="0.25">
      <c r="A11217" s="4">
        <v>11212</v>
      </c>
      <c r="B11217" s="3" t="str">
        <f>"00692238"</f>
        <v>00692238</v>
      </c>
    </row>
    <row r="11218" spans="1:2" x14ac:dyDescent="0.25">
      <c r="A11218" s="4">
        <v>11213</v>
      </c>
      <c r="B11218" s="3" t="str">
        <f>"00692247"</f>
        <v>00692247</v>
      </c>
    </row>
    <row r="11219" spans="1:2" x14ac:dyDescent="0.25">
      <c r="A11219" s="4">
        <v>11214</v>
      </c>
      <c r="B11219" s="3" t="str">
        <f>"00692253"</f>
        <v>00692253</v>
      </c>
    </row>
    <row r="11220" spans="1:2" x14ac:dyDescent="0.25">
      <c r="A11220" s="4">
        <v>11215</v>
      </c>
      <c r="B11220" s="3" t="str">
        <f>"00692259"</f>
        <v>00692259</v>
      </c>
    </row>
    <row r="11221" spans="1:2" x14ac:dyDescent="0.25">
      <c r="A11221" s="4">
        <v>11216</v>
      </c>
      <c r="B11221" s="3" t="str">
        <f>"00692265"</f>
        <v>00692265</v>
      </c>
    </row>
    <row r="11222" spans="1:2" x14ac:dyDescent="0.25">
      <c r="A11222" s="4">
        <v>11217</v>
      </c>
      <c r="B11222" s="3" t="str">
        <f>"00692283"</f>
        <v>00692283</v>
      </c>
    </row>
    <row r="11223" spans="1:2" x14ac:dyDescent="0.25">
      <c r="A11223" s="4">
        <v>11218</v>
      </c>
      <c r="B11223" s="3" t="str">
        <f>"00692286"</f>
        <v>00692286</v>
      </c>
    </row>
    <row r="11224" spans="1:2" x14ac:dyDescent="0.25">
      <c r="A11224" s="4">
        <v>11219</v>
      </c>
      <c r="B11224" s="3" t="str">
        <f>"00692295"</f>
        <v>00692295</v>
      </c>
    </row>
    <row r="11225" spans="1:2" x14ac:dyDescent="0.25">
      <c r="A11225" s="4">
        <v>11220</v>
      </c>
      <c r="B11225" s="3" t="str">
        <f>"00692311"</f>
        <v>00692311</v>
      </c>
    </row>
    <row r="11226" spans="1:2" x14ac:dyDescent="0.25">
      <c r="A11226" s="4">
        <v>11221</v>
      </c>
      <c r="B11226" s="3" t="str">
        <f>"00692315"</f>
        <v>00692315</v>
      </c>
    </row>
    <row r="11227" spans="1:2" x14ac:dyDescent="0.25">
      <c r="A11227" s="4">
        <v>11222</v>
      </c>
      <c r="B11227" s="3" t="str">
        <f>"00692317"</f>
        <v>00692317</v>
      </c>
    </row>
    <row r="11228" spans="1:2" x14ac:dyDescent="0.25">
      <c r="A11228" s="4">
        <v>11223</v>
      </c>
      <c r="B11228" s="3" t="str">
        <f>"00692321"</f>
        <v>00692321</v>
      </c>
    </row>
    <row r="11229" spans="1:2" x14ac:dyDescent="0.25">
      <c r="A11229" s="4">
        <v>11224</v>
      </c>
      <c r="B11229" s="3" t="str">
        <f>"00692322"</f>
        <v>00692322</v>
      </c>
    </row>
    <row r="11230" spans="1:2" x14ac:dyDescent="0.25">
      <c r="A11230" s="4">
        <v>11225</v>
      </c>
      <c r="B11230" s="3" t="str">
        <f>"00692332"</f>
        <v>00692332</v>
      </c>
    </row>
    <row r="11231" spans="1:2" x14ac:dyDescent="0.25">
      <c r="A11231" s="4">
        <v>11226</v>
      </c>
      <c r="B11231" s="3" t="str">
        <f>"00692336"</f>
        <v>00692336</v>
      </c>
    </row>
    <row r="11232" spans="1:2" x14ac:dyDescent="0.25">
      <c r="A11232" s="4">
        <v>11227</v>
      </c>
      <c r="B11232" s="3" t="str">
        <f>"00692342"</f>
        <v>00692342</v>
      </c>
    </row>
    <row r="11233" spans="1:2" x14ac:dyDescent="0.25">
      <c r="A11233" s="4">
        <v>11228</v>
      </c>
      <c r="B11233" s="3" t="str">
        <f>"00692346"</f>
        <v>00692346</v>
      </c>
    </row>
    <row r="11234" spans="1:2" x14ac:dyDescent="0.25">
      <c r="A11234" s="4">
        <v>11229</v>
      </c>
      <c r="B11234" s="3" t="str">
        <f>"00692349"</f>
        <v>00692349</v>
      </c>
    </row>
    <row r="11235" spans="1:2" x14ac:dyDescent="0.25">
      <c r="A11235" s="4">
        <v>11230</v>
      </c>
      <c r="B11235" s="3" t="str">
        <f>"00692353"</f>
        <v>00692353</v>
      </c>
    </row>
    <row r="11236" spans="1:2" x14ac:dyDescent="0.25">
      <c r="A11236" s="4">
        <v>11231</v>
      </c>
      <c r="B11236" s="3" t="str">
        <f>"00692354"</f>
        <v>00692354</v>
      </c>
    </row>
    <row r="11237" spans="1:2" x14ac:dyDescent="0.25">
      <c r="A11237" s="4">
        <v>11232</v>
      </c>
      <c r="B11237" s="3" t="str">
        <f>"00692355"</f>
        <v>00692355</v>
      </c>
    </row>
    <row r="11238" spans="1:2" x14ac:dyDescent="0.25">
      <c r="A11238" s="4">
        <v>11233</v>
      </c>
      <c r="B11238" s="3" t="str">
        <f>"00692376"</f>
        <v>00692376</v>
      </c>
    </row>
    <row r="11239" spans="1:2" x14ac:dyDescent="0.25">
      <c r="A11239" s="4">
        <v>11234</v>
      </c>
      <c r="B11239" s="3" t="str">
        <f>"00692379"</f>
        <v>00692379</v>
      </c>
    </row>
    <row r="11240" spans="1:2" x14ac:dyDescent="0.25">
      <c r="A11240" s="4">
        <v>11235</v>
      </c>
      <c r="B11240" s="3" t="str">
        <f>"00692381"</f>
        <v>00692381</v>
      </c>
    </row>
    <row r="11241" spans="1:2" x14ac:dyDescent="0.25">
      <c r="A11241" s="4">
        <v>11236</v>
      </c>
      <c r="B11241" s="3" t="str">
        <f>"00692386"</f>
        <v>00692386</v>
      </c>
    </row>
    <row r="11242" spans="1:2" x14ac:dyDescent="0.25">
      <c r="A11242" s="4">
        <v>11237</v>
      </c>
      <c r="B11242" s="3" t="str">
        <f>"00692394"</f>
        <v>00692394</v>
      </c>
    </row>
    <row r="11243" spans="1:2" x14ac:dyDescent="0.25">
      <c r="A11243" s="4">
        <v>11238</v>
      </c>
      <c r="B11243" s="3" t="str">
        <f>"00692407"</f>
        <v>00692407</v>
      </c>
    </row>
    <row r="11244" spans="1:2" x14ac:dyDescent="0.25">
      <c r="A11244" s="4">
        <v>11239</v>
      </c>
      <c r="B11244" s="3" t="str">
        <f>"00692408"</f>
        <v>00692408</v>
      </c>
    </row>
    <row r="11245" spans="1:2" x14ac:dyDescent="0.25">
      <c r="A11245" s="4">
        <v>11240</v>
      </c>
      <c r="B11245" s="3" t="str">
        <f>"00692411"</f>
        <v>00692411</v>
      </c>
    </row>
    <row r="11246" spans="1:2" x14ac:dyDescent="0.25">
      <c r="A11246" s="4">
        <v>11241</v>
      </c>
      <c r="B11246" s="3" t="str">
        <f>"00692415"</f>
        <v>00692415</v>
      </c>
    </row>
    <row r="11247" spans="1:2" x14ac:dyDescent="0.25">
      <c r="A11247" s="4">
        <v>11242</v>
      </c>
      <c r="B11247" s="3" t="str">
        <f>"00692416"</f>
        <v>00692416</v>
      </c>
    </row>
    <row r="11248" spans="1:2" x14ac:dyDescent="0.25">
      <c r="A11248" s="4">
        <v>11243</v>
      </c>
      <c r="B11248" s="3" t="str">
        <f>"00692425"</f>
        <v>00692425</v>
      </c>
    </row>
    <row r="11249" spans="1:2" x14ac:dyDescent="0.25">
      <c r="A11249" s="4">
        <v>11244</v>
      </c>
      <c r="B11249" s="3" t="str">
        <f>"00692426"</f>
        <v>00692426</v>
      </c>
    </row>
    <row r="11250" spans="1:2" x14ac:dyDescent="0.25">
      <c r="A11250" s="4">
        <v>11245</v>
      </c>
      <c r="B11250" s="3" t="str">
        <f>"00692430"</f>
        <v>00692430</v>
      </c>
    </row>
    <row r="11251" spans="1:2" x14ac:dyDescent="0.25">
      <c r="A11251" s="4">
        <v>11246</v>
      </c>
      <c r="B11251" s="3" t="str">
        <f>"00692436"</f>
        <v>00692436</v>
      </c>
    </row>
    <row r="11252" spans="1:2" x14ac:dyDescent="0.25">
      <c r="A11252" s="4">
        <v>11247</v>
      </c>
      <c r="B11252" s="3" t="str">
        <f>"00692437"</f>
        <v>00692437</v>
      </c>
    </row>
    <row r="11253" spans="1:2" x14ac:dyDescent="0.25">
      <c r="A11253" s="4">
        <v>11248</v>
      </c>
      <c r="B11253" s="3" t="str">
        <f>"00692445"</f>
        <v>00692445</v>
      </c>
    </row>
    <row r="11254" spans="1:2" x14ac:dyDescent="0.25">
      <c r="A11254" s="4">
        <v>11249</v>
      </c>
      <c r="B11254" s="3" t="str">
        <f>"00692456"</f>
        <v>00692456</v>
      </c>
    </row>
    <row r="11255" spans="1:2" x14ac:dyDescent="0.25">
      <c r="A11255" s="4">
        <v>11250</v>
      </c>
      <c r="B11255" s="3" t="str">
        <f>"00692459"</f>
        <v>00692459</v>
      </c>
    </row>
    <row r="11256" spans="1:2" x14ac:dyDescent="0.25">
      <c r="A11256" s="4">
        <v>11251</v>
      </c>
      <c r="B11256" s="3" t="str">
        <f>"00692468"</f>
        <v>00692468</v>
      </c>
    </row>
    <row r="11257" spans="1:2" x14ac:dyDescent="0.25">
      <c r="A11257" s="4">
        <v>11252</v>
      </c>
      <c r="B11257" s="3" t="str">
        <f>"00692469"</f>
        <v>00692469</v>
      </c>
    </row>
    <row r="11258" spans="1:2" x14ac:dyDescent="0.25">
      <c r="A11258" s="4">
        <v>11253</v>
      </c>
      <c r="B11258" s="3" t="str">
        <f>"00692479"</f>
        <v>00692479</v>
      </c>
    </row>
    <row r="11259" spans="1:2" x14ac:dyDescent="0.25">
      <c r="A11259" s="4">
        <v>11254</v>
      </c>
      <c r="B11259" s="3" t="str">
        <f>"00692497"</f>
        <v>00692497</v>
      </c>
    </row>
    <row r="11260" spans="1:2" x14ac:dyDescent="0.25">
      <c r="A11260" s="4">
        <v>11255</v>
      </c>
      <c r="B11260" s="3" t="str">
        <f>"00692501"</f>
        <v>00692501</v>
      </c>
    </row>
    <row r="11261" spans="1:2" x14ac:dyDescent="0.25">
      <c r="A11261" s="4">
        <v>11256</v>
      </c>
      <c r="B11261" s="3" t="str">
        <f>"00692503"</f>
        <v>00692503</v>
      </c>
    </row>
    <row r="11262" spans="1:2" x14ac:dyDescent="0.25">
      <c r="A11262" s="4">
        <v>11257</v>
      </c>
      <c r="B11262" s="3" t="str">
        <f>"00692511"</f>
        <v>00692511</v>
      </c>
    </row>
    <row r="11263" spans="1:2" x14ac:dyDescent="0.25">
      <c r="A11263" s="4">
        <v>11258</v>
      </c>
      <c r="B11263" s="3" t="str">
        <f>"00692534"</f>
        <v>00692534</v>
      </c>
    </row>
    <row r="11264" spans="1:2" x14ac:dyDescent="0.25">
      <c r="A11264" s="4">
        <v>11259</v>
      </c>
      <c r="B11264" s="3" t="str">
        <f>"00692549"</f>
        <v>00692549</v>
      </c>
    </row>
    <row r="11265" spans="1:2" x14ac:dyDescent="0.25">
      <c r="A11265" s="4">
        <v>11260</v>
      </c>
      <c r="B11265" s="3" t="str">
        <f>"00692551"</f>
        <v>00692551</v>
      </c>
    </row>
    <row r="11266" spans="1:2" x14ac:dyDescent="0.25">
      <c r="A11266" s="4">
        <v>11261</v>
      </c>
      <c r="B11266" s="3" t="str">
        <f>"00692555"</f>
        <v>00692555</v>
      </c>
    </row>
    <row r="11267" spans="1:2" x14ac:dyDescent="0.25">
      <c r="A11267" s="4">
        <v>11262</v>
      </c>
      <c r="B11267" s="3" t="str">
        <f>"00692563"</f>
        <v>00692563</v>
      </c>
    </row>
    <row r="11268" spans="1:2" x14ac:dyDescent="0.25">
      <c r="A11268" s="4">
        <v>11263</v>
      </c>
      <c r="B11268" s="3" t="str">
        <f>"00692565"</f>
        <v>00692565</v>
      </c>
    </row>
    <row r="11269" spans="1:2" x14ac:dyDescent="0.25">
      <c r="A11269" s="4">
        <v>11264</v>
      </c>
      <c r="B11269" s="3" t="str">
        <f>"00692566"</f>
        <v>00692566</v>
      </c>
    </row>
    <row r="11270" spans="1:2" x14ac:dyDescent="0.25">
      <c r="A11270" s="4">
        <v>11265</v>
      </c>
      <c r="B11270" s="3" t="str">
        <f>"00692568"</f>
        <v>00692568</v>
      </c>
    </row>
    <row r="11271" spans="1:2" x14ac:dyDescent="0.25">
      <c r="A11271" s="4">
        <v>11266</v>
      </c>
      <c r="B11271" s="3" t="str">
        <f>"00692581"</f>
        <v>00692581</v>
      </c>
    </row>
    <row r="11272" spans="1:2" x14ac:dyDescent="0.25">
      <c r="A11272" s="4">
        <v>11267</v>
      </c>
      <c r="B11272" s="3" t="str">
        <f>"00692591"</f>
        <v>00692591</v>
      </c>
    </row>
    <row r="11273" spans="1:2" x14ac:dyDescent="0.25">
      <c r="A11273" s="4">
        <v>11268</v>
      </c>
      <c r="B11273" s="3" t="str">
        <f>"00692603"</f>
        <v>00692603</v>
      </c>
    </row>
    <row r="11274" spans="1:2" x14ac:dyDescent="0.25">
      <c r="A11274" s="4">
        <v>11269</v>
      </c>
      <c r="B11274" s="3" t="str">
        <f>"00692608"</f>
        <v>00692608</v>
      </c>
    </row>
    <row r="11275" spans="1:2" x14ac:dyDescent="0.25">
      <c r="A11275" s="4">
        <v>11270</v>
      </c>
      <c r="B11275" s="3" t="str">
        <f>"00692616"</f>
        <v>00692616</v>
      </c>
    </row>
    <row r="11276" spans="1:2" x14ac:dyDescent="0.25">
      <c r="A11276" s="4">
        <v>11271</v>
      </c>
      <c r="B11276" s="3" t="str">
        <f>"00692619"</f>
        <v>00692619</v>
      </c>
    </row>
    <row r="11277" spans="1:2" x14ac:dyDescent="0.25">
      <c r="A11277" s="4">
        <v>11272</v>
      </c>
      <c r="B11277" s="3" t="str">
        <f>"00692624"</f>
        <v>00692624</v>
      </c>
    </row>
    <row r="11278" spans="1:2" x14ac:dyDescent="0.25">
      <c r="A11278" s="4">
        <v>11273</v>
      </c>
      <c r="B11278" s="3" t="str">
        <f>"00692626"</f>
        <v>00692626</v>
      </c>
    </row>
    <row r="11279" spans="1:2" x14ac:dyDescent="0.25">
      <c r="A11279" s="4">
        <v>11274</v>
      </c>
      <c r="B11279" s="3" t="str">
        <f>"00692631"</f>
        <v>00692631</v>
      </c>
    </row>
    <row r="11280" spans="1:2" x14ac:dyDescent="0.25">
      <c r="A11280" s="4">
        <v>11275</v>
      </c>
      <c r="B11280" s="3" t="str">
        <f>"00692633"</f>
        <v>00692633</v>
      </c>
    </row>
    <row r="11281" spans="1:2" x14ac:dyDescent="0.25">
      <c r="A11281" s="4">
        <v>11276</v>
      </c>
      <c r="B11281" s="3" t="str">
        <f>"00692634"</f>
        <v>00692634</v>
      </c>
    </row>
    <row r="11282" spans="1:2" x14ac:dyDescent="0.25">
      <c r="A11282" s="4">
        <v>11277</v>
      </c>
      <c r="B11282" s="3" t="str">
        <f>"00692636"</f>
        <v>00692636</v>
      </c>
    </row>
    <row r="11283" spans="1:2" x14ac:dyDescent="0.25">
      <c r="A11283" s="4">
        <v>11278</v>
      </c>
      <c r="B11283" s="3" t="str">
        <f>"00692644"</f>
        <v>00692644</v>
      </c>
    </row>
    <row r="11284" spans="1:2" x14ac:dyDescent="0.25">
      <c r="A11284" s="4">
        <v>11279</v>
      </c>
      <c r="B11284" s="3" t="str">
        <f>"00692654"</f>
        <v>00692654</v>
      </c>
    </row>
    <row r="11285" spans="1:2" x14ac:dyDescent="0.25">
      <c r="A11285" s="4">
        <v>11280</v>
      </c>
      <c r="B11285" s="3" t="str">
        <f>"00692667"</f>
        <v>00692667</v>
      </c>
    </row>
    <row r="11286" spans="1:2" x14ac:dyDescent="0.25">
      <c r="A11286" s="4">
        <v>11281</v>
      </c>
      <c r="B11286" s="3" t="str">
        <f>"00692674"</f>
        <v>00692674</v>
      </c>
    </row>
    <row r="11287" spans="1:2" x14ac:dyDescent="0.25">
      <c r="A11287" s="4">
        <v>11282</v>
      </c>
      <c r="B11287" s="3" t="str">
        <f>"00692691"</f>
        <v>00692691</v>
      </c>
    </row>
    <row r="11288" spans="1:2" x14ac:dyDescent="0.25">
      <c r="A11288" s="4">
        <v>11283</v>
      </c>
      <c r="B11288" s="3" t="str">
        <f>"00692698"</f>
        <v>00692698</v>
      </c>
    </row>
    <row r="11289" spans="1:2" x14ac:dyDescent="0.25">
      <c r="A11289" s="4">
        <v>11284</v>
      </c>
      <c r="B11289" s="3" t="str">
        <f>"00692715"</f>
        <v>00692715</v>
      </c>
    </row>
    <row r="11290" spans="1:2" x14ac:dyDescent="0.25">
      <c r="A11290" s="4">
        <v>11285</v>
      </c>
      <c r="B11290" s="3" t="str">
        <f>"00692722"</f>
        <v>00692722</v>
      </c>
    </row>
    <row r="11291" spans="1:2" x14ac:dyDescent="0.25">
      <c r="A11291" s="4">
        <v>11286</v>
      </c>
      <c r="B11291" s="3" t="str">
        <f>"00692732"</f>
        <v>00692732</v>
      </c>
    </row>
    <row r="11292" spans="1:2" x14ac:dyDescent="0.25">
      <c r="A11292" s="4">
        <v>11287</v>
      </c>
      <c r="B11292" s="3" t="str">
        <f>"00692733"</f>
        <v>00692733</v>
      </c>
    </row>
    <row r="11293" spans="1:2" x14ac:dyDescent="0.25">
      <c r="A11293" s="4">
        <v>11288</v>
      </c>
      <c r="B11293" s="3" t="str">
        <f>"00692738"</f>
        <v>00692738</v>
      </c>
    </row>
    <row r="11294" spans="1:2" x14ac:dyDescent="0.25">
      <c r="A11294" s="4">
        <v>11289</v>
      </c>
      <c r="B11294" s="3" t="str">
        <f>"00692752"</f>
        <v>00692752</v>
      </c>
    </row>
    <row r="11295" spans="1:2" x14ac:dyDescent="0.25">
      <c r="A11295" s="4">
        <v>11290</v>
      </c>
      <c r="B11295" s="3" t="str">
        <f>"00692759"</f>
        <v>00692759</v>
      </c>
    </row>
    <row r="11296" spans="1:2" x14ac:dyDescent="0.25">
      <c r="A11296" s="4">
        <v>11291</v>
      </c>
      <c r="B11296" s="3" t="str">
        <f>"00692765"</f>
        <v>00692765</v>
      </c>
    </row>
    <row r="11297" spans="1:2" x14ac:dyDescent="0.25">
      <c r="A11297" s="4">
        <v>11292</v>
      </c>
      <c r="B11297" s="3" t="str">
        <f>"00692776"</f>
        <v>00692776</v>
      </c>
    </row>
    <row r="11298" spans="1:2" x14ac:dyDescent="0.25">
      <c r="A11298" s="4">
        <v>11293</v>
      </c>
      <c r="B11298" s="3" t="str">
        <f>"00692780"</f>
        <v>00692780</v>
      </c>
    </row>
    <row r="11299" spans="1:2" x14ac:dyDescent="0.25">
      <c r="A11299" s="4">
        <v>11294</v>
      </c>
      <c r="B11299" s="3" t="str">
        <f>"00692783"</f>
        <v>00692783</v>
      </c>
    </row>
    <row r="11300" spans="1:2" x14ac:dyDescent="0.25">
      <c r="A11300" s="4">
        <v>11295</v>
      </c>
      <c r="B11300" s="3" t="str">
        <f>"00692786"</f>
        <v>00692786</v>
      </c>
    </row>
    <row r="11301" spans="1:2" x14ac:dyDescent="0.25">
      <c r="A11301" s="4">
        <v>11296</v>
      </c>
      <c r="B11301" s="3" t="str">
        <f>"00692792"</f>
        <v>00692792</v>
      </c>
    </row>
    <row r="11302" spans="1:2" x14ac:dyDescent="0.25">
      <c r="A11302" s="4">
        <v>11297</v>
      </c>
      <c r="B11302" s="3" t="str">
        <f>"00692806"</f>
        <v>00692806</v>
      </c>
    </row>
    <row r="11303" spans="1:2" x14ac:dyDescent="0.25">
      <c r="A11303" s="4">
        <v>11298</v>
      </c>
      <c r="B11303" s="3" t="str">
        <f>"00692809"</f>
        <v>00692809</v>
      </c>
    </row>
    <row r="11304" spans="1:2" x14ac:dyDescent="0.25">
      <c r="A11304" s="4">
        <v>11299</v>
      </c>
      <c r="B11304" s="3" t="str">
        <f>"00692812"</f>
        <v>00692812</v>
      </c>
    </row>
    <row r="11305" spans="1:2" x14ac:dyDescent="0.25">
      <c r="A11305" s="4">
        <v>11300</v>
      </c>
      <c r="B11305" s="3" t="str">
        <f>"00692820"</f>
        <v>00692820</v>
      </c>
    </row>
    <row r="11306" spans="1:2" x14ac:dyDescent="0.25">
      <c r="A11306" s="4">
        <v>11301</v>
      </c>
      <c r="B11306" s="3" t="str">
        <f>"00692825"</f>
        <v>00692825</v>
      </c>
    </row>
    <row r="11307" spans="1:2" x14ac:dyDescent="0.25">
      <c r="A11307" s="4">
        <v>11302</v>
      </c>
      <c r="B11307" s="3" t="str">
        <f>"00692836"</f>
        <v>00692836</v>
      </c>
    </row>
    <row r="11308" spans="1:2" x14ac:dyDescent="0.25">
      <c r="A11308" s="4">
        <v>11303</v>
      </c>
      <c r="B11308" s="3" t="str">
        <f>"00692849"</f>
        <v>00692849</v>
      </c>
    </row>
    <row r="11309" spans="1:2" x14ac:dyDescent="0.25">
      <c r="A11309" s="4">
        <v>11304</v>
      </c>
      <c r="B11309" s="3" t="str">
        <f>"00692850"</f>
        <v>00692850</v>
      </c>
    </row>
    <row r="11310" spans="1:2" x14ac:dyDescent="0.25">
      <c r="A11310" s="4">
        <v>11305</v>
      </c>
      <c r="B11310" s="3" t="str">
        <f>"00692851"</f>
        <v>00692851</v>
      </c>
    </row>
    <row r="11311" spans="1:2" x14ac:dyDescent="0.25">
      <c r="A11311" s="4">
        <v>11306</v>
      </c>
      <c r="B11311" s="3" t="str">
        <f>"00692854"</f>
        <v>00692854</v>
      </c>
    </row>
    <row r="11312" spans="1:2" x14ac:dyDescent="0.25">
      <c r="A11312" s="4">
        <v>11307</v>
      </c>
      <c r="B11312" s="3" t="str">
        <f>"00692858"</f>
        <v>00692858</v>
      </c>
    </row>
    <row r="11313" spans="1:2" x14ac:dyDescent="0.25">
      <c r="A11313" s="4">
        <v>11308</v>
      </c>
      <c r="B11313" s="3" t="str">
        <f>"00692859"</f>
        <v>00692859</v>
      </c>
    </row>
    <row r="11314" spans="1:2" x14ac:dyDescent="0.25">
      <c r="A11314" s="4">
        <v>11309</v>
      </c>
      <c r="B11314" s="3" t="str">
        <f>"00692878"</f>
        <v>00692878</v>
      </c>
    </row>
    <row r="11315" spans="1:2" x14ac:dyDescent="0.25">
      <c r="A11315" s="4">
        <v>11310</v>
      </c>
      <c r="B11315" s="3" t="str">
        <f>"00692889"</f>
        <v>00692889</v>
      </c>
    </row>
    <row r="11316" spans="1:2" x14ac:dyDescent="0.25">
      <c r="A11316" s="4">
        <v>11311</v>
      </c>
      <c r="B11316" s="3" t="str">
        <f>"00692914"</f>
        <v>00692914</v>
      </c>
    </row>
    <row r="11317" spans="1:2" x14ac:dyDescent="0.25">
      <c r="A11317" s="4">
        <v>11312</v>
      </c>
      <c r="B11317" s="3" t="str">
        <f>"00692923"</f>
        <v>00692923</v>
      </c>
    </row>
    <row r="11318" spans="1:2" x14ac:dyDescent="0.25">
      <c r="A11318" s="4">
        <v>11313</v>
      </c>
      <c r="B11318" s="3" t="str">
        <f>"00692930"</f>
        <v>00692930</v>
      </c>
    </row>
    <row r="11319" spans="1:2" x14ac:dyDescent="0.25">
      <c r="A11319" s="4">
        <v>11314</v>
      </c>
      <c r="B11319" s="3" t="str">
        <f>"00692934"</f>
        <v>00692934</v>
      </c>
    </row>
    <row r="11320" spans="1:2" x14ac:dyDescent="0.25">
      <c r="A11320" s="4">
        <v>11315</v>
      </c>
      <c r="B11320" s="3" t="str">
        <f>"00692938"</f>
        <v>00692938</v>
      </c>
    </row>
    <row r="11321" spans="1:2" x14ac:dyDescent="0.25">
      <c r="A11321" s="4">
        <v>11316</v>
      </c>
      <c r="B11321" s="3" t="str">
        <f>"00692941"</f>
        <v>00692941</v>
      </c>
    </row>
    <row r="11322" spans="1:2" x14ac:dyDescent="0.25">
      <c r="A11322" s="4">
        <v>11317</v>
      </c>
      <c r="B11322" s="3" t="str">
        <f>"00692943"</f>
        <v>00692943</v>
      </c>
    </row>
    <row r="11323" spans="1:2" x14ac:dyDescent="0.25">
      <c r="A11323" s="4">
        <v>11318</v>
      </c>
      <c r="B11323" s="3" t="str">
        <f>"00692958"</f>
        <v>00692958</v>
      </c>
    </row>
    <row r="11324" spans="1:2" x14ac:dyDescent="0.25">
      <c r="A11324" s="4">
        <v>11319</v>
      </c>
      <c r="B11324" s="3" t="str">
        <f>"00692960"</f>
        <v>00692960</v>
      </c>
    </row>
    <row r="11325" spans="1:2" x14ac:dyDescent="0.25">
      <c r="A11325" s="4">
        <v>11320</v>
      </c>
      <c r="B11325" s="3" t="str">
        <f>"00692970"</f>
        <v>00692970</v>
      </c>
    </row>
    <row r="11326" spans="1:2" x14ac:dyDescent="0.25">
      <c r="A11326" s="4">
        <v>11321</v>
      </c>
      <c r="B11326" s="3" t="str">
        <f>"00692976"</f>
        <v>00692976</v>
      </c>
    </row>
    <row r="11327" spans="1:2" x14ac:dyDescent="0.25">
      <c r="A11327" s="4">
        <v>11322</v>
      </c>
      <c r="B11327" s="3" t="str">
        <f>"00692983"</f>
        <v>00692983</v>
      </c>
    </row>
    <row r="11328" spans="1:2" x14ac:dyDescent="0.25">
      <c r="A11328" s="4">
        <v>11323</v>
      </c>
      <c r="B11328" s="3" t="str">
        <f>"00692993"</f>
        <v>00692993</v>
      </c>
    </row>
    <row r="11329" spans="1:2" x14ac:dyDescent="0.25">
      <c r="A11329" s="4">
        <v>11324</v>
      </c>
      <c r="B11329" s="3" t="str">
        <f>"00692994"</f>
        <v>00692994</v>
      </c>
    </row>
    <row r="11330" spans="1:2" x14ac:dyDescent="0.25">
      <c r="A11330" s="4">
        <v>11325</v>
      </c>
      <c r="B11330" s="3" t="str">
        <f>"00693004"</f>
        <v>00693004</v>
      </c>
    </row>
    <row r="11331" spans="1:2" x14ac:dyDescent="0.25">
      <c r="A11331" s="4">
        <v>11326</v>
      </c>
      <c r="B11331" s="3" t="str">
        <f>"00693010"</f>
        <v>00693010</v>
      </c>
    </row>
    <row r="11332" spans="1:2" x14ac:dyDescent="0.25">
      <c r="A11332" s="4">
        <v>11327</v>
      </c>
      <c r="B11332" s="3" t="str">
        <f>"00693024"</f>
        <v>00693024</v>
      </c>
    </row>
    <row r="11333" spans="1:2" x14ac:dyDescent="0.25">
      <c r="A11333" s="4">
        <v>11328</v>
      </c>
      <c r="B11333" s="3" t="str">
        <f>"00693025"</f>
        <v>00693025</v>
      </c>
    </row>
    <row r="11334" spans="1:2" x14ac:dyDescent="0.25">
      <c r="A11334" s="4">
        <v>11329</v>
      </c>
      <c r="B11334" s="3" t="str">
        <f>"00693026"</f>
        <v>00693026</v>
      </c>
    </row>
    <row r="11335" spans="1:2" x14ac:dyDescent="0.25">
      <c r="A11335" s="4">
        <v>11330</v>
      </c>
      <c r="B11335" s="3" t="str">
        <f>"00693031"</f>
        <v>00693031</v>
      </c>
    </row>
    <row r="11336" spans="1:2" x14ac:dyDescent="0.25">
      <c r="A11336" s="4">
        <v>11331</v>
      </c>
      <c r="B11336" s="3" t="str">
        <f>"00693042"</f>
        <v>00693042</v>
      </c>
    </row>
    <row r="11337" spans="1:2" x14ac:dyDescent="0.25">
      <c r="A11337" s="4">
        <v>11332</v>
      </c>
      <c r="B11337" s="3" t="str">
        <f>"00693044"</f>
        <v>00693044</v>
      </c>
    </row>
    <row r="11338" spans="1:2" x14ac:dyDescent="0.25">
      <c r="A11338" s="4">
        <v>11333</v>
      </c>
      <c r="B11338" s="3" t="str">
        <f>"00693047"</f>
        <v>00693047</v>
      </c>
    </row>
    <row r="11339" spans="1:2" x14ac:dyDescent="0.25">
      <c r="A11339" s="4">
        <v>11334</v>
      </c>
      <c r="B11339" s="3" t="str">
        <f>"00693048"</f>
        <v>00693048</v>
      </c>
    </row>
    <row r="11340" spans="1:2" x14ac:dyDescent="0.25">
      <c r="A11340" s="4">
        <v>11335</v>
      </c>
      <c r="B11340" s="3" t="str">
        <f>"00693049"</f>
        <v>00693049</v>
      </c>
    </row>
    <row r="11341" spans="1:2" x14ac:dyDescent="0.25">
      <c r="A11341" s="4">
        <v>11336</v>
      </c>
      <c r="B11341" s="3" t="str">
        <f>"00693055"</f>
        <v>00693055</v>
      </c>
    </row>
    <row r="11342" spans="1:2" x14ac:dyDescent="0.25">
      <c r="A11342" s="4">
        <v>11337</v>
      </c>
      <c r="B11342" s="3" t="str">
        <f>"00693058"</f>
        <v>00693058</v>
      </c>
    </row>
    <row r="11343" spans="1:2" x14ac:dyDescent="0.25">
      <c r="A11343" s="4">
        <v>11338</v>
      </c>
      <c r="B11343" s="3" t="str">
        <f>"00693062"</f>
        <v>00693062</v>
      </c>
    </row>
    <row r="11344" spans="1:2" x14ac:dyDescent="0.25">
      <c r="A11344" s="4">
        <v>11339</v>
      </c>
      <c r="B11344" s="3" t="str">
        <f>"00693069"</f>
        <v>00693069</v>
      </c>
    </row>
    <row r="11345" spans="1:2" x14ac:dyDescent="0.25">
      <c r="A11345" s="4">
        <v>11340</v>
      </c>
      <c r="B11345" s="3" t="str">
        <f>"00693081"</f>
        <v>00693081</v>
      </c>
    </row>
    <row r="11346" spans="1:2" x14ac:dyDescent="0.25">
      <c r="A11346" s="4">
        <v>11341</v>
      </c>
      <c r="B11346" s="3" t="str">
        <f>"00693082"</f>
        <v>00693082</v>
      </c>
    </row>
    <row r="11347" spans="1:2" x14ac:dyDescent="0.25">
      <c r="A11347" s="4">
        <v>11342</v>
      </c>
      <c r="B11347" s="3" t="str">
        <f>"00693085"</f>
        <v>00693085</v>
      </c>
    </row>
    <row r="11348" spans="1:2" x14ac:dyDescent="0.25">
      <c r="A11348" s="4">
        <v>11343</v>
      </c>
      <c r="B11348" s="3" t="str">
        <f>"00693087"</f>
        <v>00693087</v>
      </c>
    </row>
    <row r="11349" spans="1:2" x14ac:dyDescent="0.25">
      <c r="A11349" s="4">
        <v>11344</v>
      </c>
      <c r="B11349" s="3" t="str">
        <f>"00693089"</f>
        <v>00693089</v>
      </c>
    </row>
    <row r="11350" spans="1:2" x14ac:dyDescent="0.25">
      <c r="A11350" s="4">
        <v>11345</v>
      </c>
      <c r="B11350" s="3" t="str">
        <f>"00693102"</f>
        <v>00693102</v>
      </c>
    </row>
    <row r="11351" spans="1:2" x14ac:dyDescent="0.25">
      <c r="A11351" s="4">
        <v>11346</v>
      </c>
      <c r="B11351" s="3" t="str">
        <f>"00693123"</f>
        <v>00693123</v>
      </c>
    </row>
    <row r="11352" spans="1:2" x14ac:dyDescent="0.25">
      <c r="A11352" s="4">
        <v>11347</v>
      </c>
      <c r="B11352" s="3" t="str">
        <f>"00693127"</f>
        <v>00693127</v>
      </c>
    </row>
    <row r="11353" spans="1:2" x14ac:dyDescent="0.25">
      <c r="A11353" s="4">
        <v>11348</v>
      </c>
      <c r="B11353" s="3" t="str">
        <f>"00693137"</f>
        <v>00693137</v>
      </c>
    </row>
    <row r="11354" spans="1:2" x14ac:dyDescent="0.25">
      <c r="A11354" s="4">
        <v>11349</v>
      </c>
      <c r="B11354" s="3" t="str">
        <f>"00693157"</f>
        <v>00693157</v>
      </c>
    </row>
    <row r="11355" spans="1:2" x14ac:dyDescent="0.25">
      <c r="A11355" s="4">
        <v>11350</v>
      </c>
      <c r="B11355" s="3" t="str">
        <f>"00693175"</f>
        <v>00693175</v>
      </c>
    </row>
    <row r="11356" spans="1:2" x14ac:dyDescent="0.25">
      <c r="A11356" s="4">
        <v>11351</v>
      </c>
      <c r="B11356" s="3" t="str">
        <f>"00693176"</f>
        <v>00693176</v>
      </c>
    </row>
    <row r="11357" spans="1:2" x14ac:dyDescent="0.25">
      <c r="A11357" s="4">
        <v>11352</v>
      </c>
      <c r="B11357" s="3" t="str">
        <f>"00693180"</f>
        <v>00693180</v>
      </c>
    </row>
    <row r="11358" spans="1:2" x14ac:dyDescent="0.25">
      <c r="A11358" s="4">
        <v>11353</v>
      </c>
      <c r="B11358" s="3" t="str">
        <f>"00693181"</f>
        <v>00693181</v>
      </c>
    </row>
    <row r="11359" spans="1:2" x14ac:dyDescent="0.25">
      <c r="A11359" s="4">
        <v>11354</v>
      </c>
      <c r="B11359" s="3" t="str">
        <f>"00693185"</f>
        <v>00693185</v>
      </c>
    </row>
    <row r="11360" spans="1:2" x14ac:dyDescent="0.25">
      <c r="A11360" s="4">
        <v>11355</v>
      </c>
      <c r="B11360" s="3" t="str">
        <f>"00693213"</f>
        <v>00693213</v>
      </c>
    </row>
    <row r="11361" spans="1:2" x14ac:dyDescent="0.25">
      <c r="A11361" s="4">
        <v>11356</v>
      </c>
      <c r="B11361" s="3" t="str">
        <f>"00693220"</f>
        <v>00693220</v>
      </c>
    </row>
    <row r="11362" spans="1:2" x14ac:dyDescent="0.25">
      <c r="A11362" s="4">
        <v>11357</v>
      </c>
      <c r="B11362" s="3" t="str">
        <f>"00693236"</f>
        <v>00693236</v>
      </c>
    </row>
    <row r="11363" spans="1:2" x14ac:dyDescent="0.25">
      <c r="A11363" s="4">
        <v>11358</v>
      </c>
      <c r="B11363" s="3" t="str">
        <f>"00693244"</f>
        <v>00693244</v>
      </c>
    </row>
    <row r="11364" spans="1:2" x14ac:dyDescent="0.25">
      <c r="A11364" s="4">
        <v>11359</v>
      </c>
      <c r="B11364" s="3" t="str">
        <f>"00693245"</f>
        <v>00693245</v>
      </c>
    </row>
    <row r="11365" spans="1:2" x14ac:dyDescent="0.25">
      <c r="A11365" s="4">
        <v>11360</v>
      </c>
      <c r="B11365" s="3" t="str">
        <f>"00693246"</f>
        <v>00693246</v>
      </c>
    </row>
    <row r="11366" spans="1:2" x14ac:dyDescent="0.25">
      <c r="A11366" s="4">
        <v>11361</v>
      </c>
      <c r="B11366" s="3" t="str">
        <f>"00693253"</f>
        <v>00693253</v>
      </c>
    </row>
    <row r="11367" spans="1:2" x14ac:dyDescent="0.25">
      <c r="A11367" s="4">
        <v>11362</v>
      </c>
      <c r="B11367" s="3" t="str">
        <f>"00693275"</f>
        <v>00693275</v>
      </c>
    </row>
    <row r="11368" spans="1:2" x14ac:dyDescent="0.25">
      <c r="A11368" s="4">
        <v>11363</v>
      </c>
      <c r="B11368" s="3" t="str">
        <f>"00693295"</f>
        <v>00693295</v>
      </c>
    </row>
    <row r="11369" spans="1:2" x14ac:dyDescent="0.25">
      <c r="A11369" s="4">
        <v>11364</v>
      </c>
      <c r="B11369" s="3" t="str">
        <f>"00693306"</f>
        <v>00693306</v>
      </c>
    </row>
    <row r="11370" spans="1:2" x14ac:dyDescent="0.25">
      <c r="A11370" s="4">
        <v>11365</v>
      </c>
      <c r="B11370" s="3" t="str">
        <f>"00693308"</f>
        <v>00693308</v>
      </c>
    </row>
    <row r="11371" spans="1:2" x14ac:dyDescent="0.25">
      <c r="A11371" s="4">
        <v>11366</v>
      </c>
      <c r="B11371" s="3" t="str">
        <f>"00693340"</f>
        <v>00693340</v>
      </c>
    </row>
    <row r="11372" spans="1:2" x14ac:dyDescent="0.25">
      <c r="A11372" s="4">
        <v>11367</v>
      </c>
      <c r="B11372" s="3" t="str">
        <f>"00693343"</f>
        <v>00693343</v>
      </c>
    </row>
    <row r="11373" spans="1:2" x14ac:dyDescent="0.25">
      <c r="A11373" s="4">
        <v>11368</v>
      </c>
      <c r="B11373" s="3" t="str">
        <f>"00693345"</f>
        <v>00693345</v>
      </c>
    </row>
    <row r="11374" spans="1:2" x14ac:dyDescent="0.25">
      <c r="A11374" s="4">
        <v>11369</v>
      </c>
      <c r="B11374" s="3" t="str">
        <f>"00693347"</f>
        <v>00693347</v>
      </c>
    </row>
    <row r="11375" spans="1:2" x14ac:dyDescent="0.25">
      <c r="A11375" s="4">
        <v>11370</v>
      </c>
      <c r="B11375" s="3" t="str">
        <f>"00693350"</f>
        <v>00693350</v>
      </c>
    </row>
    <row r="11376" spans="1:2" x14ac:dyDescent="0.25">
      <c r="A11376" s="4">
        <v>11371</v>
      </c>
      <c r="B11376" s="3" t="str">
        <f>"00693353"</f>
        <v>00693353</v>
      </c>
    </row>
    <row r="11377" spans="1:2" x14ac:dyDescent="0.25">
      <c r="A11377" s="4">
        <v>11372</v>
      </c>
      <c r="B11377" s="3" t="str">
        <f>"00693359"</f>
        <v>00693359</v>
      </c>
    </row>
    <row r="11378" spans="1:2" x14ac:dyDescent="0.25">
      <c r="A11378" s="4">
        <v>11373</v>
      </c>
      <c r="B11378" s="3" t="str">
        <f>"00693395"</f>
        <v>00693395</v>
      </c>
    </row>
    <row r="11379" spans="1:2" x14ac:dyDescent="0.25">
      <c r="A11379" s="4">
        <v>11374</v>
      </c>
      <c r="B11379" s="3" t="str">
        <f>"00693402"</f>
        <v>00693402</v>
      </c>
    </row>
    <row r="11380" spans="1:2" x14ac:dyDescent="0.25">
      <c r="A11380" s="4">
        <v>11375</v>
      </c>
      <c r="B11380" s="3" t="str">
        <f>"00693408"</f>
        <v>00693408</v>
      </c>
    </row>
    <row r="11381" spans="1:2" x14ac:dyDescent="0.25">
      <c r="A11381" s="4">
        <v>11376</v>
      </c>
      <c r="B11381" s="3" t="str">
        <f>"00693418"</f>
        <v>00693418</v>
      </c>
    </row>
    <row r="11382" spans="1:2" x14ac:dyDescent="0.25">
      <c r="A11382" s="4">
        <v>11377</v>
      </c>
      <c r="B11382" s="3" t="str">
        <f>"00693437"</f>
        <v>00693437</v>
      </c>
    </row>
    <row r="11383" spans="1:2" x14ac:dyDescent="0.25">
      <c r="A11383" s="4">
        <v>11378</v>
      </c>
      <c r="B11383" s="3" t="str">
        <f>"00693443"</f>
        <v>00693443</v>
      </c>
    </row>
    <row r="11384" spans="1:2" x14ac:dyDescent="0.25">
      <c r="A11384" s="4">
        <v>11379</v>
      </c>
      <c r="B11384" s="3" t="str">
        <f>"00693445"</f>
        <v>00693445</v>
      </c>
    </row>
    <row r="11385" spans="1:2" x14ac:dyDescent="0.25">
      <c r="A11385" s="4">
        <v>11380</v>
      </c>
      <c r="B11385" s="3" t="str">
        <f>"00693451"</f>
        <v>00693451</v>
      </c>
    </row>
    <row r="11386" spans="1:2" x14ac:dyDescent="0.25">
      <c r="A11386" s="4">
        <v>11381</v>
      </c>
      <c r="B11386" s="3" t="str">
        <f>"00693458"</f>
        <v>00693458</v>
      </c>
    </row>
    <row r="11387" spans="1:2" x14ac:dyDescent="0.25">
      <c r="A11387" s="4">
        <v>11382</v>
      </c>
      <c r="B11387" s="3" t="str">
        <f>"00693466"</f>
        <v>00693466</v>
      </c>
    </row>
    <row r="11388" spans="1:2" x14ac:dyDescent="0.25">
      <c r="A11388" s="4">
        <v>11383</v>
      </c>
      <c r="B11388" s="3" t="str">
        <f>"00693474"</f>
        <v>00693474</v>
      </c>
    </row>
    <row r="11389" spans="1:2" x14ac:dyDescent="0.25">
      <c r="A11389" s="4">
        <v>11384</v>
      </c>
      <c r="B11389" s="3" t="str">
        <f>"00693475"</f>
        <v>00693475</v>
      </c>
    </row>
    <row r="11390" spans="1:2" x14ac:dyDescent="0.25">
      <c r="A11390" s="4">
        <v>11385</v>
      </c>
      <c r="B11390" s="3" t="str">
        <f>"00693477"</f>
        <v>00693477</v>
      </c>
    </row>
    <row r="11391" spans="1:2" x14ac:dyDescent="0.25">
      <c r="A11391" s="4">
        <v>11386</v>
      </c>
      <c r="B11391" s="3" t="str">
        <f>"00693489"</f>
        <v>00693489</v>
      </c>
    </row>
    <row r="11392" spans="1:2" x14ac:dyDescent="0.25">
      <c r="A11392" s="4">
        <v>11387</v>
      </c>
      <c r="B11392" s="3" t="str">
        <f>"00693493"</f>
        <v>00693493</v>
      </c>
    </row>
    <row r="11393" spans="1:2" x14ac:dyDescent="0.25">
      <c r="A11393" s="4">
        <v>11388</v>
      </c>
      <c r="B11393" s="3" t="str">
        <f>"00693499"</f>
        <v>00693499</v>
      </c>
    </row>
    <row r="11394" spans="1:2" x14ac:dyDescent="0.25">
      <c r="A11394" s="4">
        <v>11389</v>
      </c>
      <c r="B11394" s="3" t="str">
        <f>"00693503"</f>
        <v>00693503</v>
      </c>
    </row>
    <row r="11395" spans="1:2" x14ac:dyDescent="0.25">
      <c r="A11395" s="4">
        <v>11390</v>
      </c>
      <c r="B11395" s="3" t="str">
        <f>"00693505"</f>
        <v>00693505</v>
      </c>
    </row>
    <row r="11396" spans="1:2" x14ac:dyDescent="0.25">
      <c r="A11396" s="4">
        <v>11391</v>
      </c>
      <c r="B11396" s="3" t="str">
        <f>"00693508"</f>
        <v>00693508</v>
      </c>
    </row>
    <row r="11397" spans="1:2" x14ac:dyDescent="0.25">
      <c r="A11397" s="4">
        <v>11392</v>
      </c>
      <c r="B11397" s="3" t="str">
        <f>"00693509"</f>
        <v>00693509</v>
      </c>
    </row>
    <row r="11398" spans="1:2" x14ac:dyDescent="0.25">
      <c r="A11398" s="4">
        <v>11393</v>
      </c>
      <c r="B11398" s="3" t="str">
        <f>"00693510"</f>
        <v>00693510</v>
      </c>
    </row>
    <row r="11399" spans="1:2" x14ac:dyDescent="0.25">
      <c r="A11399" s="4">
        <v>11394</v>
      </c>
      <c r="B11399" s="3" t="str">
        <f>"00693512"</f>
        <v>00693512</v>
      </c>
    </row>
    <row r="11400" spans="1:2" x14ac:dyDescent="0.25">
      <c r="A11400" s="4">
        <v>11395</v>
      </c>
      <c r="B11400" s="3" t="str">
        <f>"00693513"</f>
        <v>00693513</v>
      </c>
    </row>
    <row r="11401" spans="1:2" x14ac:dyDescent="0.25">
      <c r="A11401" s="4">
        <v>11396</v>
      </c>
      <c r="B11401" s="3" t="str">
        <f>"00693549"</f>
        <v>00693549</v>
      </c>
    </row>
    <row r="11402" spans="1:2" x14ac:dyDescent="0.25">
      <c r="A11402" s="4">
        <v>11397</v>
      </c>
      <c r="B11402" s="3" t="str">
        <f>"00693554"</f>
        <v>00693554</v>
      </c>
    </row>
    <row r="11403" spans="1:2" x14ac:dyDescent="0.25">
      <c r="A11403" s="4">
        <v>11398</v>
      </c>
      <c r="B11403" s="3" t="str">
        <f>"00693555"</f>
        <v>00693555</v>
      </c>
    </row>
    <row r="11404" spans="1:2" x14ac:dyDescent="0.25">
      <c r="A11404" s="4">
        <v>11399</v>
      </c>
      <c r="B11404" s="3" t="str">
        <f>"00693563"</f>
        <v>00693563</v>
      </c>
    </row>
    <row r="11405" spans="1:2" x14ac:dyDescent="0.25">
      <c r="A11405" s="4">
        <v>11400</v>
      </c>
      <c r="B11405" s="3" t="str">
        <f>"00693567"</f>
        <v>00693567</v>
      </c>
    </row>
    <row r="11406" spans="1:2" x14ac:dyDescent="0.25">
      <c r="A11406" s="4">
        <v>11401</v>
      </c>
      <c r="B11406" s="3" t="str">
        <f>"00693571"</f>
        <v>00693571</v>
      </c>
    </row>
    <row r="11407" spans="1:2" x14ac:dyDescent="0.25">
      <c r="A11407" s="4">
        <v>11402</v>
      </c>
      <c r="B11407" s="3" t="str">
        <f>"00693575"</f>
        <v>00693575</v>
      </c>
    </row>
    <row r="11408" spans="1:2" x14ac:dyDescent="0.25">
      <c r="A11408" s="4">
        <v>11403</v>
      </c>
      <c r="B11408" s="3" t="str">
        <f>"00693577"</f>
        <v>00693577</v>
      </c>
    </row>
    <row r="11409" spans="1:2" x14ac:dyDescent="0.25">
      <c r="A11409" s="4">
        <v>11404</v>
      </c>
      <c r="B11409" s="3" t="str">
        <f>"00693580"</f>
        <v>00693580</v>
      </c>
    </row>
    <row r="11410" spans="1:2" x14ac:dyDescent="0.25">
      <c r="A11410" s="4">
        <v>11405</v>
      </c>
      <c r="B11410" s="3" t="str">
        <f>"00693587"</f>
        <v>00693587</v>
      </c>
    </row>
    <row r="11411" spans="1:2" x14ac:dyDescent="0.25">
      <c r="A11411" s="4">
        <v>11406</v>
      </c>
      <c r="B11411" s="3" t="str">
        <f>"00693592"</f>
        <v>00693592</v>
      </c>
    </row>
    <row r="11412" spans="1:2" x14ac:dyDescent="0.25">
      <c r="A11412" s="4">
        <v>11407</v>
      </c>
      <c r="B11412" s="3" t="str">
        <f>"00693596"</f>
        <v>00693596</v>
      </c>
    </row>
    <row r="11413" spans="1:2" x14ac:dyDescent="0.25">
      <c r="A11413" s="4">
        <v>11408</v>
      </c>
      <c r="B11413" s="3" t="str">
        <f>"00693601"</f>
        <v>00693601</v>
      </c>
    </row>
    <row r="11414" spans="1:2" x14ac:dyDescent="0.25">
      <c r="A11414" s="4">
        <v>11409</v>
      </c>
      <c r="B11414" s="3" t="str">
        <f>"00693607"</f>
        <v>00693607</v>
      </c>
    </row>
    <row r="11415" spans="1:2" x14ac:dyDescent="0.25">
      <c r="A11415" s="4">
        <v>11410</v>
      </c>
      <c r="B11415" s="3" t="str">
        <f>"00693608"</f>
        <v>00693608</v>
      </c>
    </row>
    <row r="11416" spans="1:2" x14ac:dyDescent="0.25">
      <c r="A11416" s="4">
        <v>11411</v>
      </c>
      <c r="B11416" s="3" t="str">
        <f>"00693611"</f>
        <v>00693611</v>
      </c>
    </row>
    <row r="11417" spans="1:2" x14ac:dyDescent="0.25">
      <c r="A11417" s="4">
        <v>11412</v>
      </c>
      <c r="B11417" s="3" t="str">
        <f>"00693612"</f>
        <v>00693612</v>
      </c>
    </row>
    <row r="11418" spans="1:2" x14ac:dyDescent="0.25">
      <c r="A11418" s="4">
        <v>11413</v>
      </c>
      <c r="B11418" s="3" t="str">
        <f>"00693619"</f>
        <v>00693619</v>
      </c>
    </row>
    <row r="11419" spans="1:2" x14ac:dyDescent="0.25">
      <c r="A11419" s="4">
        <v>11414</v>
      </c>
      <c r="B11419" s="3" t="str">
        <f>"00693634"</f>
        <v>00693634</v>
      </c>
    </row>
    <row r="11420" spans="1:2" x14ac:dyDescent="0.25">
      <c r="A11420" s="4">
        <v>11415</v>
      </c>
      <c r="B11420" s="3" t="str">
        <f>"00693635"</f>
        <v>00693635</v>
      </c>
    </row>
    <row r="11421" spans="1:2" x14ac:dyDescent="0.25">
      <c r="A11421" s="4">
        <v>11416</v>
      </c>
      <c r="B11421" s="3" t="str">
        <f>"00693648"</f>
        <v>00693648</v>
      </c>
    </row>
    <row r="11422" spans="1:2" x14ac:dyDescent="0.25">
      <c r="A11422" s="4">
        <v>11417</v>
      </c>
      <c r="B11422" s="3" t="str">
        <f>"00693649"</f>
        <v>00693649</v>
      </c>
    </row>
    <row r="11423" spans="1:2" x14ac:dyDescent="0.25">
      <c r="A11423" s="4">
        <v>11418</v>
      </c>
      <c r="B11423" s="3" t="str">
        <f>"00693652"</f>
        <v>00693652</v>
      </c>
    </row>
    <row r="11424" spans="1:2" x14ac:dyDescent="0.25">
      <c r="A11424" s="4">
        <v>11419</v>
      </c>
      <c r="B11424" s="3" t="str">
        <f>"00693653"</f>
        <v>00693653</v>
      </c>
    </row>
    <row r="11425" spans="1:2" x14ac:dyDescent="0.25">
      <c r="A11425" s="4">
        <v>11420</v>
      </c>
      <c r="B11425" s="3" t="str">
        <f>"00693658"</f>
        <v>00693658</v>
      </c>
    </row>
    <row r="11426" spans="1:2" x14ac:dyDescent="0.25">
      <c r="A11426" s="4">
        <v>11421</v>
      </c>
      <c r="B11426" s="3" t="str">
        <f>"00693660"</f>
        <v>00693660</v>
      </c>
    </row>
    <row r="11427" spans="1:2" x14ac:dyDescent="0.25">
      <c r="A11427" s="4">
        <v>11422</v>
      </c>
      <c r="B11427" s="3" t="str">
        <f>"00693665"</f>
        <v>00693665</v>
      </c>
    </row>
    <row r="11428" spans="1:2" x14ac:dyDescent="0.25">
      <c r="A11428" s="4">
        <v>11423</v>
      </c>
      <c r="B11428" s="3" t="str">
        <f>"00693674"</f>
        <v>00693674</v>
      </c>
    </row>
    <row r="11429" spans="1:2" x14ac:dyDescent="0.25">
      <c r="A11429" s="4">
        <v>11424</v>
      </c>
      <c r="B11429" s="3" t="str">
        <f>"00693677"</f>
        <v>00693677</v>
      </c>
    </row>
    <row r="11430" spans="1:2" x14ac:dyDescent="0.25">
      <c r="A11430" s="4">
        <v>11425</v>
      </c>
      <c r="B11430" s="3" t="str">
        <f>"00693678"</f>
        <v>00693678</v>
      </c>
    </row>
    <row r="11431" spans="1:2" x14ac:dyDescent="0.25">
      <c r="A11431" s="4">
        <v>11426</v>
      </c>
      <c r="B11431" s="3" t="str">
        <f>"00693679"</f>
        <v>00693679</v>
      </c>
    </row>
    <row r="11432" spans="1:2" x14ac:dyDescent="0.25">
      <c r="A11432" s="4">
        <v>11427</v>
      </c>
      <c r="B11432" s="3" t="str">
        <f>"00693689"</f>
        <v>00693689</v>
      </c>
    </row>
    <row r="11433" spans="1:2" x14ac:dyDescent="0.25">
      <c r="A11433" s="4">
        <v>11428</v>
      </c>
      <c r="B11433" s="3" t="str">
        <f>"00693693"</f>
        <v>00693693</v>
      </c>
    </row>
    <row r="11434" spans="1:2" x14ac:dyDescent="0.25">
      <c r="A11434" s="4">
        <v>11429</v>
      </c>
      <c r="B11434" s="3" t="str">
        <f>"00693697"</f>
        <v>00693697</v>
      </c>
    </row>
    <row r="11435" spans="1:2" x14ac:dyDescent="0.25">
      <c r="A11435" s="4">
        <v>11430</v>
      </c>
      <c r="B11435" s="3" t="str">
        <f>"00693700"</f>
        <v>00693700</v>
      </c>
    </row>
    <row r="11436" spans="1:2" x14ac:dyDescent="0.25">
      <c r="A11436" s="4">
        <v>11431</v>
      </c>
      <c r="B11436" s="3" t="str">
        <f>"00693703"</f>
        <v>00693703</v>
      </c>
    </row>
    <row r="11437" spans="1:2" x14ac:dyDescent="0.25">
      <c r="A11437" s="4">
        <v>11432</v>
      </c>
      <c r="B11437" s="3" t="str">
        <f>"00693705"</f>
        <v>00693705</v>
      </c>
    </row>
    <row r="11438" spans="1:2" x14ac:dyDescent="0.25">
      <c r="A11438" s="4">
        <v>11433</v>
      </c>
      <c r="B11438" s="3" t="str">
        <f>"00693715"</f>
        <v>00693715</v>
      </c>
    </row>
    <row r="11439" spans="1:2" x14ac:dyDescent="0.25">
      <c r="A11439" s="4">
        <v>11434</v>
      </c>
      <c r="B11439" s="3" t="str">
        <f>"00693720"</f>
        <v>00693720</v>
      </c>
    </row>
    <row r="11440" spans="1:2" x14ac:dyDescent="0.25">
      <c r="A11440" s="4">
        <v>11435</v>
      </c>
      <c r="B11440" s="3" t="str">
        <f>"00693730"</f>
        <v>00693730</v>
      </c>
    </row>
    <row r="11441" spans="1:2" x14ac:dyDescent="0.25">
      <c r="A11441" s="4">
        <v>11436</v>
      </c>
      <c r="B11441" s="3" t="str">
        <f>"00693732"</f>
        <v>00693732</v>
      </c>
    </row>
    <row r="11442" spans="1:2" x14ac:dyDescent="0.25">
      <c r="A11442" s="4">
        <v>11437</v>
      </c>
      <c r="B11442" s="3" t="str">
        <f>"00693733"</f>
        <v>00693733</v>
      </c>
    </row>
    <row r="11443" spans="1:2" x14ac:dyDescent="0.25">
      <c r="A11443" s="4">
        <v>11438</v>
      </c>
      <c r="B11443" s="3" t="str">
        <f>"00693734"</f>
        <v>00693734</v>
      </c>
    </row>
    <row r="11444" spans="1:2" x14ac:dyDescent="0.25">
      <c r="A11444" s="4">
        <v>11439</v>
      </c>
      <c r="B11444" s="3" t="str">
        <f>"00693736"</f>
        <v>00693736</v>
      </c>
    </row>
    <row r="11445" spans="1:2" x14ac:dyDescent="0.25">
      <c r="A11445" s="4">
        <v>11440</v>
      </c>
      <c r="B11445" s="3" t="str">
        <f>"00693739"</f>
        <v>00693739</v>
      </c>
    </row>
    <row r="11446" spans="1:2" x14ac:dyDescent="0.25">
      <c r="A11446" s="4">
        <v>11441</v>
      </c>
      <c r="B11446" s="3" t="str">
        <f>"00693765"</f>
        <v>00693765</v>
      </c>
    </row>
    <row r="11447" spans="1:2" x14ac:dyDescent="0.25">
      <c r="A11447" s="4">
        <v>11442</v>
      </c>
      <c r="B11447" s="3" t="str">
        <f>"00693769"</f>
        <v>00693769</v>
      </c>
    </row>
    <row r="11448" spans="1:2" x14ac:dyDescent="0.25">
      <c r="A11448" s="4">
        <v>11443</v>
      </c>
      <c r="B11448" s="3" t="str">
        <f>"00693770"</f>
        <v>00693770</v>
      </c>
    </row>
    <row r="11449" spans="1:2" x14ac:dyDescent="0.25">
      <c r="A11449" s="4">
        <v>11444</v>
      </c>
      <c r="B11449" s="3" t="str">
        <f>"00693771"</f>
        <v>00693771</v>
      </c>
    </row>
    <row r="11450" spans="1:2" x14ac:dyDescent="0.25">
      <c r="A11450" s="4">
        <v>11445</v>
      </c>
      <c r="B11450" s="3" t="str">
        <f>"00693774"</f>
        <v>00693774</v>
      </c>
    </row>
    <row r="11451" spans="1:2" x14ac:dyDescent="0.25">
      <c r="A11451" s="4">
        <v>11446</v>
      </c>
      <c r="B11451" s="3" t="str">
        <f>"00693784"</f>
        <v>00693784</v>
      </c>
    </row>
    <row r="11452" spans="1:2" x14ac:dyDescent="0.25">
      <c r="A11452" s="4">
        <v>11447</v>
      </c>
      <c r="B11452" s="3" t="str">
        <f>"00693786"</f>
        <v>00693786</v>
      </c>
    </row>
    <row r="11453" spans="1:2" x14ac:dyDescent="0.25">
      <c r="A11453" s="4">
        <v>11448</v>
      </c>
      <c r="B11453" s="3" t="str">
        <f>"00693795"</f>
        <v>00693795</v>
      </c>
    </row>
    <row r="11454" spans="1:2" x14ac:dyDescent="0.25">
      <c r="A11454" s="4">
        <v>11449</v>
      </c>
      <c r="B11454" s="3" t="str">
        <f>"00693806"</f>
        <v>00693806</v>
      </c>
    </row>
    <row r="11455" spans="1:2" x14ac:dyDescent="0.25">
      <c r="A11455" s="4">
        <v>11450</v>
      </c>
      <c r="B11455" s="3" t="str">
        <f>"00693811"</f>
        <v>00693811</v>
      </c>
    </row>
    <row r="11456" spans="1:2" x14ac:dyDescent="0.25">
      <c r="A11456" s="4">
        <v>11451</v>
      </c>
      <c r="B11456" s="3" t="str">
        <f>"00693815"</f>
        <v>00693815</v>
      </c>
    </row>
    <row r="11457" spans="1:2" x14ac:dyDescent="0.25">
      <c r="A11457" s="4">
        <v>11452</v>
      </c>
      <c r="B11457" s="3" t="str">
        <f>"00693819"</f>
        <v>00693819</v>
      </c>
    </row>
    <row r="11458" spans="1:2" x14ac:dyDescent="0.25">
      <c r="A11458" s="4">
        <v>11453</v>
      </c>
      <c r="B11458" s="3" t="str">
        <f>"00693825"</f>
        <v>00693825</v>
      </c>
    </row>
    <row r="11459" spans="1:2" x14ac:dyDescent="0.25">
      <c r="A11459" s="4">
        <v>11454</v>
      </c>
      <c r="B11459" s="3" t="str">
        <f>"00693826"</f>
        <v>00693826</v>
      </c>
    </row>
    <row r="11460" spans="1:2" x14ac:dyDescent="0.25">
      <c r="A11460" s="4">
        <v>11455</v>
      </c>
      <c r="B11460" s="3" t="str">
        <f>"00693828"</f>
        <v>00693828</v>
      </c>
    </row>
    <row r="11461" spans="1:2" x14ac:dyDescent="0.25">
      <c r="A11461" s="4">
        <v>11456</v>
      </c>
      <c r="B11461" s="3" t="str">
        <f>"00693832"</f>
        <v>00693832</v>
      </c>
    </row>
    <row r="11462" spans="1:2" x14ac:dyDescent="0.25">
      <c r="A11462" s="4">
        <v>11457</v>
      </c>
      <c r="B11462" s="3" t="str">
        <f>"00693834"</f>
        <v>00693834</v>
      </c>
    </row>
    <row r="11463" spans="1:2" x14ac:dyDescent="0.25">
      <c r="A11463" s="4">
        <v>11458</v>
      </c>
      <c r="B11463" s="3" t="str">
        <f>"00693840"</f>
        <v>00693840</v>
      </c>
    </row>
    <row r="11464" spans="1:2" x14ac:dyDescent="0.25">
      <c r="A11464" s="4">
        <v>11459</v>
      </c>
      <c r="B11464" s="3" t="str">
        <f>"00693847"</f>
        <v>00693847</v>
      </c>
    </row>
    <row r="11465" spans="1:2" x14ac:dyDescent="0.25">
      <c r="A11465" s="4">
        <v>11460</v>
      </c>
      <c r="B11465" s="3" t="str">
        <f>"00693853"</f>
        <v>00693853</v>
      </c>
    </row>
    <row r="11466" spans="1:2" x14ac:dyDescent="0.25">
      <c r="A11466" s="4">
        <v>11461</v>
      </c>
      <c r="B11466" s="3" t="str">
        <f>"00693858"</f>
        <v>00693858</v>
      </c>
    </row>
    <row r="11467" spans="1:2" x14ac:dyDescent="0.25">
      <c r="A11467" s="4">
        <v>11462</v>
      </c>
      <c r="B11467" s="3" t="str">
        <f>"00693866"</f>
        <v>00693866</v>
      </c>
    </row>
    <row r="11468" spans="1:2" x14ac:dyDescent="0.25">
      <c r="A11468" s="4">
        <v>11463</v>
      </c>
      <c r="B11468" s="3" t="str">
        <f>"00693871"</f>
        <v>00693871</v>
      </c>
    </row>
    <row r="11469" spans="1:2" x14ac:dyDescent="0.25">
      <c r="A11469" s="4">
        <v>11464</v>
      </c>
      <c r="B11469" s="3" t="str">
        <f>"00693873"</f>
        <v>00693873</v>
      </c>
    </row>
    <row r="11470" spans="1:2" x14ac:dyDescent="0.25">
      <c r="A11470" s="4">
        <v>11465</v>
      </c>
      <c r="B11470" s="3" t="str">
        <f>"00693877"</f>
        <v>00693877</v>
      </c>
    </row>
    <row r="11471" spans="1:2" x14ac:dyDescent="0.25">
      <c r="A11471" s="4">
        <v>11466</v>
      </c>
      <c r="B11471" s="3" t="str">
        <f>"00693880"</f>
        <v>00693880</v>
      </c>
    </row>
    <row r="11472" spans="1:2" x14ac:dyDescent="0.25">
      <c r="A11472" s="4">
        <v>11467</v>
      </c>
      <c r="B11472" s="3" t="str">
        <f>"00693885"</f>
        <v>00693885</v>
      </c>
    </row>
    <row r="11473" spans="1:2" x14ac:dyDescent="0.25">
      <c r="A11473" s="4">
        <v>11468</v>
      </c>
      <c r="B11473" s="3" t="str">
        <f>"00693886"</f>
        <v>00693886</v>
      </c>
    </row>
    <row r="11474" spans="1:2" x14ac:dyDescent="0.25">
      <c r="A11474" s="4">
        <v>11469</v>
      </c>
      <c r="B11474" s="3" t="str">
        <f>"00693888"</f>
        <v>00693888</v>
      </c>
    </row>
    <row r="11475" spans="1:2" x14ac:dyDescent="0.25">
      <c r="A11475" s="4">
        <v>11470</v>
      </c>
      <c r="B11475" s="3" t="str">
        <f>"00693889"</f>
        <v>00693889</v>
      </c>
    </row>
    <row r="11476" spans="1:2" x14ac:dyDescent="0.25">
      <c r="A11476" s="4">
        <v>11471</v>
      </c>
      <c r="B11476" s="3" t="str">
        <f>"00693892"</f>
        <v>00693892</v>
      </c>
    </row>
    <row r="11477" spans="1:2" x14ac:dyDescent="0.25">
      <c r="A11477" s="4">
        <v>11472</v>
      </c>
      <c r="B11477" s="3" t="str">
        <f>"00693899"</f>
        <v>00693899</v>
      </c>
    </row>
    <row r="11478" spans="1:2" x14ac:dyDescent="0.25">
      <c r="A11478" s="4">
        <v>11473</v>
      </c>
      <c r="B11478" s="3" t="str">
        <f>"00693907"</f>
        <v>00693907</v>
      </c>
    </row>
    <row r="11479" spans="1:2" x14ac:dyDescent="0.25">
      <c r="A11479" s="4">
        <v>11474</v>
      </c>
      <c r="B11479" s="3" t="str">
        <f>"00693920"</f>
        <v>00693920</v>
      </c>
    </row>
    <row r="11480" spans="1:2" x14ac:dyDescent="0.25">
      <c r="A11480" s="4">
        <v>11475</v>
      </c>
      <c r="B11480" s="3" t="str">
        <f>"00693921"</f>
        <v>00693921</v>
      </c>
    </row>
    <row r="11481" spans="1:2" x14ac:dyDescent="0.25">
      <c r="A11481" s="4">
        <v>11476</v>
      </c>
      <c r="B11481" s="3" t="str">
        <f>"00693923"</f>
        <v>00693923</v>
      </c>
    </row>
    <row r="11482" spans="1:2" x14ac:dyDescent="0.25">
      <c r="A11482" s="4">
        <v>11477</v>
      </c>
      <c r="B11482" s="3" t="str">
        <f>"00693925"</f>
        <v>00693925</v>
      </c>
    </row>
    <row r="11483" spans="1:2" x14ac:dyDescent="0.25">
      <c r="A11483" s="4">
        <v>11478</v>
      </c>
      <c r="B11483" s="3" t="str">
        <f>"00693941"</f>
        <v>00693941</v>
      </c>
    </row>
    <row r="11484" spans="1:2" x14ac:dyDescent="0.25">
      <c r="A11484" s="4">
        <v>11479</v>
      </c>
      <c r="B11484" s="3" t="str">
        <f>"00693942"</f>
        <v>00693942</v>
      </c>
    </row>
    <row r="11485" spans="1:2" x14ac:dyDescent="0.25">
      <c r="A11485" s="4">
        <v>11480</v>
      </c>
      <c r="B11485" s="3" t="str">
        <f>"00693955"</f>
        <v>00693955</v>
      </c>
    </row>
    <row r="11486" spans="1:2" x14ac:dyDescent="0.25">
      <c r="A11486" s="4">
        <v>11481</v>
      </c>
      <c r="B11486" s="3" t="str">
        <f>"00693972"</f>
        <v>00693972</v>
      </c>
    </row>
    <row r="11487" spans="1:2" x14ac:dyDescent="0.25">
      <c r="A11487" s="4">
        <v>11482</v>
      </c>
      <c r="B11487" s="3" t="str">
        <f>"00693995"</f>
        <v>00693995</v>
      </c>
    </row>
    <row r="11488" spans="1:2" x14ac:dyDescent="0.25">
      <c r="A11488" s="4">
        <v>11483</v>
      </c>
      <c r="B11488" s="3" t="str">
        <f>"00694009"</f>
        <v>00694009</v>
      </c>
    </row>
    <row r="11489" spans="1:2" x14ac:dyDescent="0.25">
      <c r="A11489" s="4">
        <v>11484</v>
      </c>
      <c r="B11489" s="3" t="str">
        <f>"00694010"</f>
        <v>00694010</v>
      </c>
    </row>
    <row r="11490" spans="1:2" x14ac:dyDescent="0.25">
      <c r="A11490" s="4">
        <v>11485</v>
      </c>
      <c r="B11490" s="3" t="str">
        <f>"00694011"</f>
        <v>00694011</v>
      </c>
    </row>
    <row r="11491" spans="1:2" x14ac:dyDescent="0.25">
      <c r="A11491" s="4">
        <v>11486</v>
      </c>
      <c r="B11491" s="3" t="str">
        <f>"00694012"</f>
        <v>00694012</v>
      </c>
    </row>
    <row r="11492" spans="1:2" x14ac:dyDescent="0.25">
      <c r="A11492" s="4">
        <v>11487</v>
      </c>
      <c r="B11492" s="3" t="str">
        <f>"00694017"</f>
        <v>00694017</v>
      </c>
    </row>
    <row r="11493" spans="1:2" x14ac:dyDescent="0.25">
      <c r="A11493" s="4">
        <v>11488</v>
      </c>
      <c r="B11493" s="3" t="str">
        <f>"00694018"</f>
        <v>00694018</v>
      </c>
    </row>
    <row r="11494" spans="1:2" x14ac:dyDescent="0.25">
      <c r="A11494" s="4">
        <v>11489</v>
      </c>
      <c r="B11494" s="3" t="str">
        <f>"00694027"</f>
        <v>00694027</v>
      </c>
    </row>
    <row r="11495" spans="1:2" x14ac:dyDescent="0.25">
      <c r="A11495" s="4">
        <v>11490</v>
      </c>
      <c r="B11495" s="3" t="str">
        <f>"00694033"</f>
        <v>00694033</v>
      </c>
    </row>
    <row r="11496" spans="1:2" x14ac:dyDescent="0.25">
      <c r="A11496" s="4">
        <v>11491</v>
      </c>
      <c r="B11496" s="3" t="str">
        <f>"00694040"</f>
        <v>00694040</v>
      </c>
    </row>
    <row r="11497" spans="1:2" x14ac:dyDescent="0.25">
      <c r="A11497" s="4">
        <v>11492</v>
      </c>
      <c r="B11497" s="3" t="str">
        <f>"00694043"</f>
        <v>00694043</v>
      </c>
    </row>
    <row r="11498" spans="1:2" x14ac:dyDescent="0.25">
      <c r="A11498" s="4">
        <v>11493</v>
      </c>
      <c r="B11498" s="3" t="str">
        <f>"00694047"</f>
        <v>00694047</v>
      </c>
    </row>
    <row r="11499" spans="1:2" x14ac:dyDescent="0.25">
      <c r="A11499" s="4">
        <v>11494</v>
      </c>
      <c r="B11499" s="3" t="str">
        <f>"00694053"</f>
        <v>00694053</v>
      </c>
    </row>
    <row r="11500" spans="1:2" x14ac:dyDescent="0.25">
      <c r="A11500" s="4">
        <v>11495</v>
      </c>
      <c r="B11500" s="3" t="str">
        <f>"00694057"</f>
        <v>00694057</v>
      </c>
    </row>
    <row r="11501" spans="1:2" x14ac:dyDescent="0.25">
      <c r="A11501" s="4">
        <v>11496</v>
      </c>
      <c r="B11501" s="3" t="str">
        <f>"00694062"</f>
        <v>00694062</v>
      </c>
    </row>
    <row r="11502" spans="1:2" x14ac:dyDescent="0.25">
      <c r="A11502" s="4">
        <v>11497</v>
      </c>
      <c r="B11502" s="3" t="str">
        <f>"00694066"</f>
        <v>00694066</v>
      </c>
    </row>
    <row r="11503" spans="1:2" x14ac:dyDescent="0.25">
      <c r="A11503" s="4">
        <v>11498</v>
      </c>
      <c r="B11503" s="3" t="str">
        <f>"00694080"</f>
        <v>00694080</v>
      </c>
    </row>
    <row r="11504" spans="1:2" x14ac:dyDescent="0.25">
      <c r="A11504" s="4">
        <v>11499</v>
      </c>
      <c r="B11504" s="3" t="str">
        <f>"00694083"</f>
        <v>00694083</v>
      </c>
    </row>
    <row r="11505" spans="1:2" x14ac:dyDescent="0.25">
      <c r="A11505" s="4">
        <v>11500</v>
      </c>
      <c r="B11505" s="3" t="str">
        <f>"00694086"</f>
        <v>00694086</v>
      </c>
    </row>
    <row r="11506" spans="1:2" x14ac:dyDescent="0.25">
      <c r="A11506" s="4">
        <v>11501</v>
      </c>
      <c r="B11506" s="3" t="str">
        <f>"00694103"</f>
        <v>00694103</v>
      </c>
    </row>
    <row r="11507" spans="1:2" x14ac:dyDescent="0.25">
      <c r="A11507" s="4">
        <v>11502</v>
      </c>
      <c r="B11507" s="3" t="str">
        <f>"00694105"</f>
        <v>00694105</v>
      </c>
    </row>
    <row r="11508" spans="1:2" x14ac:dyDescent="0.25">
      <c r="A11508" s="4">
        <v>11503</v>
      </c>
      <c r="B11508" s="3" t="str">
        <f>"00694108"</f>
        <v>00694108</v>
      </c>
    </row>
    <row r="11509" spans="1:2" x14ac:dyDescent="0.25">
      <c r="A11509" s="4">
        <v>11504</v>
      </c>
      <c r="B11509" s="3" t="str">
        <f>"00694116"</f>
        <v>00694116</v>
      </c>
    </row>
    <row r="11510" spans="1:2" x14ac:dyDescent="0.25">
      <c r="A11510" s="4">
        <v>11505</v>
      </c>
      <c r="B11510" s="3" t="str">
        <f>"00694118"</f>
        <v>00694118</v>
      </c>
    </row>
    <row r="11511" spans="1:2" x14ac:dyDescent="0.25">
      <c r="A11511" s="4">
        <v>11506</v>
      </c>
      <c r="B11511" s="3" t="str">
        <f>"00694120"</f>
        <v>00694120</v>
      </c>
    </row>
    <row r="11512" spans="1:2" x14ac:dyDescent="0.25">
      <c r="A11512" s="4">
        <v>11507</v>
      </c>
      <c r="B11512" s="3" t="str">
        <f>"00694123"</f>
        <v>00694123</v>
      </c>
    </row>
    <row r="11513" spans="1:2" x14ac:dyDescent="0.25">
      <c r="A11513" s="4">
        <v>11508</v>
      </c>
      <c r="B11513" s="3" t="str">
        <f>"00694130"</f>
        <v>00694130</v>
      </c>
    </row>
    <row r="11514" spans="1:2" x14ac:dyDescent="0.25">
      <c r="A11514" s="4">
        <v>11509</v>
      </c>
      <c r="B11514" s="3" t="str">
        <f>"00694132"</f>
        <v>00694132</v>
      </c>
    </row>
    <row r="11515" spans="1:2" x14ac:dyDescent="0.25">
      <c r="A11515" s="4">
        <v>11510</v>
      </c>
      <c r="B11515" s="3" t="str">
        <f>"00694134"</f>
        <v>00694134</v>
      </c>
    </row>
    <row r="11516" spans="1:2" x14ac:dyDescent="0.25">
      <c r="A11516" s="4">
        <v>11511</v>
      </c>
      <c r="B11516" s="3" t="str">
        <f>"00694142"</f>
        <v>00694142</v>
      </c>
    </row>
    <row r="11517" spans="1:2" x14ac:dyDescent="0.25">
      <c r="A11517" s="4">
        <v>11512</v>
      </c>
      <c r="B11517" s="3" t="str">
        <f>"00694153"</f>
        <v>00694153</v>
      </c>
    </row>
    <row r="11518" spans="1:2" x14ac:dyDescent="0.25">
      <c r="A11518" s="4">
        <v>11513</v>
      </c>
      <c r="B11518" s="3" t="str">
        <f>"00694172"</f>
        <v>00694172</v>
      </c>
    </row>
    <row r="11519" spans="1:2" x14ac:dyDescent="0.25">
      <c r="A11519" s="4">
        <v>11514</v>
      </c>
      <c r="B11519" s="3" t="str">
        <f>"00694178"</f>
        <v>00694178</v>
      </c>
    </row>
    <row r="11520" spans="1:2" x14ac:dyDescent="0.25">
      <c r="A11520" s="4">
        <v>11515</v>
      </c>
      <c r="B11520" s="3" t="str">
        <f>"00694207"</f>
        <v>00694207</v>
      </c>
    </row>
    <row r="11521" spans="1:2" x14ac:dyDescent="0.25">
      <c r="A11521" s="4">
        <v>11516</v>
      </c>
      <c r="B11521" s="3" t="str">
        <f>"00694218"</f>
        <v>00694218</v>
      </c>
    </row>
    <row r="11522" spans="1:2" x14ac:dyDescent="0.25">
      <c r="A11522" s="4">
        <v>11517</v>
      </c>
      <c r="B11522" s="3" t="str">
        <f>"00694224"</f>
        <v>00694224</v>
      </c>
    </row>
    <row r="11523" spans="1:2" x14ac:dyDescent="0.25">
      <c r="A11523" s="4">
        <v>11518</v>
      </c>
      <c r="B11523" s="3" t="str">
        <f>"00694228"</f>
        <v>00694228</v>
      </c>
    </row>
    <row r="11524" spans="1:2" x14ac:dyDescent="0.25">
      <c r="A11524" s="4">
        <v>11519</v>
      </c>
      <c r="B11524" s="3" t="str">
        <f>"00694234"</f>
        <v>00694234</v>
      </c>
    </row>
    <row r="11525" spans="1:2" x14ac:dyDescent="0.25">
      <c r="A11525" s="4">
        <v>11520</v>
      </c>
      <c r="B11525" s="3" t="str">
        <f>"00694249"</f>
        <v>00694249</v>
      </c>
    </row>
    <row r="11526" spans="1:2" x14ac:dyDescent="0.25">
      <c r="A11526" s="4">
        <v>11521</v>
      </c>
      <c r="B11526" s="3" t="str">
        <f>"00694252"</f>
        <v>00694252</v>
      </c>
    </row>
    <row r="11527" spans="1:2" x14ac:dyDescent="0.25">
      <c r="A11527" s="4">
        <v>11522</v>
      </c>
      <c r="B11527" s="3" t="str">
        <f>"00694259"</f>
        <v>00694259</v>
      </c>
    </row>
    <row r="11528" spans="1:2" x14ac:dyDescent="0.25">
      <c r="A11528" s="4">
        <v>11523</v>
      </c>
      <c r="B11528" s="3" t="str">
        <f>"00694266"</f>
        <v>00694266</v>
      </c>
    </row>
    <row r="11529" spans="1:2" x14ac:dyDescent="0.25">
      <c r="A11529" s="4">
        <v>11524</v>
      </c>
      <c r="B11529" s="3" t="str">
        <f>"00694269"</f>
        <v>00694269</v>
      </c>
    </row>
    <row r="11530" spans="1:2" x14ac:dyDescent="0.25">
      <c r="A11530" s="4">
        <v>11525</v>
      </c>
      <c r="B11530" s="3" t="str">
        <f>"00694280"</f>
        <v>00694280</v>
      </c>
    </row>
    <row r="11531" spans="1:2" x14ac:dyDescent="0.25">
      <c r="A11531" s="4">
        <v>11526</v>
      </c>
      <c r="B11531" s="3" t="str">
        <f>"00694287"</f>
        <v>00694287</v>
      </c>
    </row>
    <row r="11532" spans="1:2" x14ac:dyDescent="0.25">
      <c r="A11532" s="4">
        <v>11527</v>
      </c>
      <c r="B11532" s="3" t="str">
        <f>"00694291"</f>
        <v>00694291</v>
      </c>
    </row>
    <row r="11533" spans="1:2" x14ac:dyDescent="0.25">
      <c r="A11533" s="4">
        <v>11528</v>
      </c>
      <c r="B11533" s="3" t="str">
        <f>"00694292"</f>
        <v>00694292</v>
      </c>
    </row>
    <row r="11534" spans="1:2" x14ac:dyDescent="0.25">
      <c r="A11534" s="4">
        <v>11529</v>
      </c>
      <c r="B11534" s="3" t="str">
        <f>"00694295"</f>
        <v>00694295</v>
      </c>
    </row>
    <row r="11535" spans="1:2" x14ac:dyDescent="0.25">
      <c r="A11535" s="4">
        <v>11530</v>
      </c>
      <c r="B11535" s="3" t="str">
        <f>"00694298"</f>
        <v>00694298</v>
      </c>
    </row>
    <row r="11536" spans="1:2" x14ac:dyDescent="0.25">
      <c r="A11536" s="4">
        <v>11531</v>
      </c>
      <c r="B11536" s="3" t="str">
        <f>"00694299"</f>
        <v>00694299</v>
      </c>
    </row>
    <row r="11537" spans="1:2" x14ac:dyDescent="0.25">
      <c r="A11537" s="4">
        <v>11532</v>
      </c>
      <c r="B11537" s="3" t="str">
        <f>"00694300"</f>
        <v>00694300</v>
      </c>
    </row>
    <row r="11538" spans="1:2" x14ac:dyDescent="0.25">
      <c r="A11538" s="4">
        <v>11533</v>
      </c>
      <c r="B11538" s="3" t="str">
        <f>"00694307"</f>
        <v>00694307</v>
      </c>
    </row>
    <row r="11539" spans="1:2" x14ac:dyDescent="0.25">
      <c r="A11539" s="4">
        <v>11534</v>
      </c>
      <c r="B11539" s="3" t="str">
        <f>"00694310"</f>
        <v>00694310</v>
      </c>
    </row>
    <row r="11540" spans="1:2" x14ac:dyDescent="0.25">
      <c r="A11540" s="4">
        <v>11535</v>
      </c>
      <c r="B11540" s="3" t="str">
        <f>"00694316"</f>
        <v>00694316</v>
      </c>
    </row>
    <row r="11541" spans="1:2" x14ac:dyDescent="0.25">
      <c r="A11541" s="4">
        <v>11536</v>
      </c>
      <c r="B11541" s="3" t="str">
        <f>"00694328"</f>
        <v>00694328</v>
      </c>
    </row>
    <row r="11542" spans="1:2" x14ac:dyDescent="0.25">
      <c r="A11542" s="4">
        <v>11537</v>
      </c>
      <c r="B11542" s="3" t="str">
        <f>"00694343"</f>
        <v>00694343</v>
      </c>
    </row>
    <row r="11543" spans="1:2" x14ac:dyDescent="0.25">
      <c r="A11543" s="4">
        <v>11538</v>
      </c>
      <c r="B11543" s="3" t="str">
        <f>"00694354"</f>
        <v>00694354</v>
      </c>
    </row>
    <row r="11544" spans="1:2" x14ac:dyDescent="0.25">
      <c r="A11544" s="4">
        <v>11539</v>
      </c>
      <c r="B11544" s="3" t="str">
        <f>"00694360"</f>
        <v>00694360</v>
      </c>
    </row>
    <row r="11545" spans="1:2" x14ac:dyDescent="0.25">
      <c r="A11545" s="4">
        <v>11540</v>
      </c>
      <c r="B11545" s="3" t="str">
        <f>"00694362"</f>
        <v>00694362</v>
      </c>
    </row>
    <row r="11546" spans="1:2" x14ac:dyDescent="0.25">
      <c r="A11546" s="4">
        <v>11541</v>
      </c>
      <c r="B11546" s="3" t="str">
        <f>"00694380"</f>
        <v>00694380</v>
      </c>
    </row>
    <row r="11547" spans="1:2" x14ac:dyDescent="0.25">
      <c r="A11547" s="4">
        <v>11542</v>
      </c>
      <c r="B11547" s="3" t="str">
        <f>"00694392"</f>
        <v>00694392</v>
      </c>
    </row>
    <row r="11548" spans="1:2" x14ac:dyDescent="0.25">
      <c r="A11548" s="4">
        <v>11543</v>
      </c>
      <c r="B11548" s="3" t="str">
        <f>"00694394"</f>
        <v>00694394</v>
      </c>
    </row>
    <row r="11549" spans="1:2" x14ac:dyDescent="0.25">
      <c r="A11549" s="4">
        <v>11544</v>
      </c>
      <c r="B11549" s="3" t="str">
        <f>"00694395"</f>
        <v>00694395</v>
      </c>
    </row>
    <row r="11550" spans="1:2" x14ac:dyDescent="0.25">
      <c r="A11550" s="4">
        <v>11545</v>
      </c>
      <c r="B11550" s="3" t="str">
        <f>"00694411"</f>
        <v>00694411</v>
      </c>
    </row>
    <row r="11551" spans="1:2" x14ac:dyDescent="0.25">
      <c r="A11551" s="4">
        <v>11546</v>
      </c>
      <c r="B11551" s="3" t="str">
        <f>"00694414"</f>
        <v>00694414</v>
      </c>
    </row>
    <row r="11552" spans="1:2" x14ac:dyDescent="0.25">
      <c r="A11552" s="4">
        <v>11547</v>
      </c>
      <c r="B11552" s="3" t="str">
        <f>"00694424"</f>
        <v>00694424</v>
      </c>
    </row>
    <row r="11553" spans="1:2" x14ac:dyDescent="0.25">
      <c r="A11553" s="4">
        <v>11548</v>
      </c>
      <c r="B11553" s="3" t="str">
        <f>"00694427"</f>
        <v>00694427</v>
      </c>
    </row>
    <row r="11554" spans="1:2" x14ac:dyDescent="0.25">
      <c r="A11554" s="4">
        <v>11549</v>
      </c>
      <c r="B11554" s="3" t="str">
        <f>"00694428"</f>
        <v>00694428</v>
      </c>
    </row>
    <row r="11555" spans="1:2" x14ac:dyDescent="0.25">
      <c r="A11555" s="4">
        <v>11550</v>
      </c>
      <c r="B11555" s="3" t="str">
        <f>"00694431"</f>
        <v>00694431</v>
      </c>
    </row>
    <row r="11556" spans="1:2" x14ac:dyDescent="0.25">
      <c r="A11556" s="4">
        <v>11551</v>
      </c>
      <c r="B11556" s="3" t="str">
        <f>"00694437"</f>
        <v>00694437</v>
      </c>
    </row>
    <row r="11557" spans="1:2" x14ac:dyDescent="0.25">
      <c r="A11557" s="4">
        <v>11552</v>
      </c>
      <c r="B11557" s="3" t="str">
        <f>"00694439"</f>
        <v>00694439</v>
      </c>
    </row>
    <row r="11558" spans="1:2" x14ac:dyDescent="0.25">
      <c r="A11558" s="4">
        <v>11553</v>
      </c>
      <c r="B11558" s="3" t="str">
        <f>"00694457"</f>
        <v>00694457</v>
      </c>
    </row>
    <row r="11559" spans="1:2" x14ac:dyDescent="0.25">
      <c r="A11559" s="4">
        <v>11554</v>
      </c>
      <c r="B11559" s="3" t="str">
        <f>"00694459"</f>
        <v>00694459</v>
      </c>
    </row>
    <row r="11560" spans="1:2" x14ac:dyDescent="0.25">
      <c r="A11560" s="4">
        <v>11555</v>
      </c>
      <c r="B11560" s="3" t="str">
        <f>"00694462"</f>
        <v>00694462</v>
      </c>
    </row>
    <row r="11561" spans="1:2" x14ac:dyDescent="0.25">
      <c r="A11561" s="4">
        <v>11556</v>
      </c>
      <c r="B11561" s="3" t="str">
        <f>"00694468"</f>
        <v>00694468</v>
      </c>
    </row>
    <row r="11562" spans="1:2" x14ac:dyDescent="0.25">
      <c r="A11562" s="4">
        <v>11557</v>
      </c>
      <c r="B11562" s="3" t="str">
        <f>"00694483"</f>
        <v>00694483</v>
      </c>
    </row>
    <row r="11563" spans="1:2" x14ac:dyDescent="0.25">
      <c r="A11563" s="4">
        <v>11558</v>
      </c>
      <c r="B11563" s="3" t="str">
        <f>"00694486"</f>
        <v>00694486</v>
      </c>
    </row>
    <row r="11564" spans="1:2" x14ac:dyDescent="0.25">
      <c r="A11564" s="4">
        <v>11559</v>
      </c>
      <c r="B11564" s="3" t="str">
        <f>"00694493"</f>
        <v>00694493</v>
      </c>
    </row>
    <row r="11565" spans="1:2" x14ac:dyDescent="0.25">
      <c r="A11565" s="4">
        <v>11560</v>
      </c>
      <c r="B11565" s="3" t="str">
        <f>"00694497"</f>
        <v>00694497</v>
      </c>
    </row>
    <row r="11566" spans="1:2" x14ac:dyDescent="0.25">
      <c r="A11566" s="4">
        <v>11561</v>
      </c>
      <c r="B11566" s="3" t="str">
        <f>"00694502"</f>
        <v>00694502</v>
      </c>
    </row>
    <row r="11567" spans="1:2" x14ac:dyDescent="0.25">
      <c r="A11567" s="4">
        <v>11562</v>
      </c>
      <c r="B11567" s="3" t="str">
        <f>"00694506"</f>
        <v>00694506</v>
      </c>
    </row>
    <row r="11568" spans="1:2" x14ac:dyDescent="0.25">
      <c r="A11568" s="4">
        <v>11563</v>
      </c>
      <c r="B11568" s="3" t="str">
        <f>"00694515"</f>
        <v>00694515</v>
      </c>
    </row>
    <row r="11569" spans="1:2" x14ac:dyDescent="0.25">
      <c r="A11569" s="4">
        <v>11564</v>
      </c>
      <c r="B11569" s="3" t="str">
        <f>"00694524"</f>
        <v>00694524</v>
      </c>
    </row>
    <row r="11570" spans="1:2" x14ac:dyDescent="0.25">
      <c r="A11570" s="4">
        <v>11565</v>
      </c>
      <c r="B11570" s="3" t="str">
        <f>"00694530"</f>
        <v>00694530</v>
      </c>
    </row>
    <row r="11571" spans="1:2" x14ac:dyDescent="0.25">
      <c r="A11571" s="4">
        <v>11566</v>
      </c>
      <c r="B11571" s="3" t="str">
        <f>"00694532"</f>
        <v>00694532</v>
      </c>
    </row>
    <row r="11572" spans="1:2" x14ac:dyDescent="0.25">
      <c r="A11572" s="4">
        <v>11567</v>
      </c>
      <c r="B11572" s="3" t="str">
        <f>"00694537"</f>
        <v>00694537</v>
      </c>
    </row>
    <row r="11573" spans="1:2" x14ac:dyDescent="0.25">
      <c r="A11573" s="4">
        <v>11568</v>
      </c>
      <c r="B11573" s="3" t="str">
        <f>"00694538"</f>
        <v>00694538</v>
      </c>
    </row>
    <row r="11574" spans="1:2" x14ac:dyDescent="0.25">
      <c r="A11574" s="4">
        <v>11569</v>
      </c>
      <c r="B11574" s="3" t="str">
        <f>"00694540"</f>
        <v>00694540</v>
      </c>
    </row>
    <row r="11575" spans="1:2" x14ac:dyDescent="0.25">
      <c r="A11575" s="4">
        <v>11570</v>
      </c>
      <c r="B11575" s="3" t="str">
        <f>"00694553"</f>
        <v>00694553</v>
      </c>
    </row>
    <row r="11576" spans="1:2" x14ac:dyDescent="0.25">
      <c r="A11576" s="4">
        <v>11571</v>
      </c>
      <c r="B11576" s="3" t="str">
        <f>"00694556"</f>
        <v>00694556</v>
      </c>
    </row>
    <row r="11577" spans="1:2" x14ac:dyDescent="0.25">
      <c r="A11577" s="4">
        <v>11572</v>
      </c>
      <c r="B11577" s="3" t="str">
        <f>"00694575"</f>
        <v>00694575</v>
      </c>
    </row>
    <row r="11578" spans="1:2" x14ac:dyDescent="0.25">
      <c r="A11578" s="4">
        <v>11573</v>
      </c>
      <c r="B11578" s="3" t="str">
        <f>"00694576"</f>
        <v>00694576</v>
      </c>
    </row>
    <row r="11579" spans="1:2" x14ac:dyDescent="0.25">
      <c r="A11579" s="4">
        <v>11574</v>
      </c>
      <c r="B11579" s="3" t="str">
        <f>"00694583"</f>
        <v>00694583</v>
      </c>
    </row>
    <row r="11580" spans="1:2" x14ac:dyDescent="0.25">
      <c r="A11580" s="4">
        <v>11575</v>
      </c>
      <c r="B11580" s="3" t="str">
        <f>"00694594"</f>
        <v>00694594</v>
      </c>
    </row>
    <row r="11581" spans="1:2" x14ac:dyDescent="0.25">
      <c r="A11581" s="4">
        <v>11576</v>
      </c>
      <c r="B11581" s="3" t="str">
        <f>"00694601"</f>
        <v>00694601</v>
      </c>
    </row>
    <row r="11582" spans="1:2" x14ac:dyDescent="0.25">
      <c r="A11582" s="4">
        <v>11577</v>
      </c>
      <c r="B11582" s="3" t="str">
        <f>"00694609"</f>
        <v>00694609</v>
      </c>
    </row>
    <row r="11583" spans="1:2" x14ac:dyDescent="0.25">
      <c r="A11583" s="4">
        <v>11578</v>
      </c>
      <c r="B11583" s="3" t="str">
        <f>"00694615"</f>
        <v>00694615</v>
      </c>
    </row>
    <row r="11584" spans="1:2" x14ac:dyDescent="0.25">
      <c r="A11584" s="4">
        <v>11579</v>
      </c>
      <c r="B11584" s="3" t="str">
        <f>"00694619"</f>
        <v>00694619</v>
      </c>
    </row>
    <row r="11585" spans="1:2" x14ac:dyDescent="0.25">
      <c r="A11585" s="4">
        <v>11580</v>
      </c>
      <c r="B11585" s="3" t="str">
        <f>"00694626"</f>
        <v>00694626</v>
      </c>
    </row>
    <row r="11586" spans="1:2" x14ac:dyDescent="0.25">
      <c r="A11586" s="4">
        <v>11581</v>
      </c>
      <c r="B11586" s="3" t="str">
        <f>"00694638"</f>
        <v>00694638</v>
      </c>
    </row>
    <row r="11587" spans="1:2" x14ac:dyDescent="0.25">
      <c r="A11587" s="4">
        <v>11582</v>
      </c>
      <c r="B11587" s="3" t="str">
        <f>"00694647"</f>
        <v>00694647</v>
      </c>
    </row>
    <row r="11588" spans="1:2" x14ac:dyDescent="0.25">
      <c r="A11588" s="4">
        <v>11583</v>
      </c>
      <c r="B11588" s="3" t="str">
        <f>"00694656"</f>
        <v>00694656</v>
      </c>
    </row>
    <row r="11589" spans="1:2" x14ac:dyDescent="0.25">
      <c r="A11589" s="4">
        <v>11584</v>
      </c>
      <c r="B11589" s="3" t="str">
        <f>"00694663"</f>
        <v>00694663</v>
      </c>
    </row>
    <row r="11590" spans="1:2" x14ac:dyDescent="0.25">
      <c r="A11590" s="4">
        <v>11585</v>
      </c>
      <c r="B11590" s="3" t="str">
        <f>"00694664"</f>
        <v>00694664</v>
      </c>
    </row>
    <row r="11591" spans="1:2" x14ac:dyDescent="0.25">
      <c r="A11591" s="4">
        <v>11586</v>
      </c>
      <c r="B11591" s="3" t="str">
        <f>"00694676"</f>
        <v>00694676</v>
      </c>
    </row>
    <row r="11592" spans="1:2" x14ac:dyDescent="0.25">
      <c r="A11592" s="4">
        <v>11587</v>
      </c>
      <c r="B11592" s="3" t="str">
        <f>"00694682"</f>
        <v>00694682</v>
      </c>
    </row>
    <row r="11593" spans="1:2" x14ac:dyDescent="0.25">
      <c r="A11593" s="4">
        <v>11588</v>
      </c>
      <c r="B11593" s="3" t="str">
        <f>"00694688"</f>
        <v>00694688</v>
      </c>
    </row>
    <row r="11594" spans="1:2" x14ac:dyDescent="0.25">
      <c r="A11594" s="4">
        <v>11589</v>
      </c>
      <c r="B11594" s="3" t="str">
        <f>"00694702"</f>
        <v>00694702</v>
      </c>
    </row>
    <row r="11595" spans="1:2" x14ac:dyDescent="0.25">
      <c r="A11595" s="4">
        <v>11590</v>
      </c>
      <c r="B11595" s="3" t="str">
        <f>"00694717"</f>
        <v>00694717</v>
      </c>
    </row>
    <row r="11596" spans="1:2" x14ac:dyDescent="0.25">
      <c r="A11596" s="4">
        <v>11591</v>
      </c>
      <c r="B11596" s="3" t="str">
        <f>"00694720"</f>
        <v>00694720</v>
      </c>
    </row>
    <row r="11597" spans="1:2" x14ac:dyDescent="0.25">
      <c r="A11597" s="4">
        <v>11592</v>
      </c>
      <c r="B11597" s="3" t="str">
        <f>"00694721"</f>
        <v>00694721</v>
      </c>
    </row>
    <row r="11598" spans="1:2" x14ac:dyDescent="0.25">
      <c r="A11598" s="4">
        <v>11593</v>
      </c>
      <c r="B11598" s="3" t="str">
        <f>"00694723"</f>
        <v>00694723</v>
      </c>
    </row>
    <row r="11599" spans="1:2" x14ac:dyDescent="0.25">
      <c r="A11599" s="4">
        <v>11594</v>
      </c>
      <c r="B11599" s="3" t="str">
        <f>"00694729"</f>
        <v>00694729</v>
      </c>
    </row>
    <row r="11600" spans="1:2" x14ac:dyDescent="0.25">
      <c r="A11600" s="4">
        <v>11595</v>
      </c>
      <c r="B11600" s="3" t="str">
        <f>"00694730"</f>
        <v>00694730</v>
      </c>
    </row>
    <row r="11601" spans="1:2" x14ac:dyDescent="0.25">
      <c r="A11601" s="4">
        <v>11596</v>
      </c>
      <c r="B11601" s="3" t="str">
        <f>"00694735"</f>
        <v>00694735</v>
      </c>
    </row>
    <row r="11602" spans="1:2" x14ac:dyDescent="0.25">
      <c r="A11602" s="4">
        <v>11597</v>
      </c>
      <c r="B11602" s="3" t="str">
        <f>"00694740"</f>
        <v>00694740</v>
      </c>
    </row>
    <row r="11603" spans="1:2" x14ac:dyDescent="0.25">
      <c r="A11603" s="4">
        <v>11598</v>
      </c>
      <c r="B11603" s="3" t="str">
        <f>"00694749"</f>
        <v>00694749</v>
      </c>
    </row>
    <row r="11604" spans="1:2" x14ac:dyDescent="0.25">
      <c r="A11604" s="4">
        <v>11599</v>
      </c>
      <c r="B11604" s="3" t="str">
        <f>"00694750"</f>
        <v>00694750</v>
      </c>
    </row>
    <row r="11605" spans="1:2" x14ac:dyDescent="0.25">
      <c r="A11605" s="4">
        <v>11600</v>
      </c>
      <c r="B11605" s="3" t="str">
        <f>"00694760"</f>
        <v>00694760</v>
      </c>
    </row>
    <row r="11606" spans="1:2" x14ac:dyDescent="0.25">
      <c r="A11606" s="4">
        <v>11601</v>
      </c>
      <c r="B11606" s="3" t="str">
        <f>"00694765"</f>
        <v>00694765</v>
      </c>
    </row>
    <row r="11607" spans="1:2" x14ac:dyDescent="0.25">
      <c r="A11607" s="4">
        <v>11602</v>
      </c>
      <c r="B11607" s="3" t="str">
        <f>"00694766"</f>
        <v>00694766</v>
      </c>
    </row>
    <row r="11608" spans="1:2" x14ac:dyDescent="0.25">
      <c r="A11608" s="4">
        <v>11603</v>
      </c>
      <c r="B11608" s="3" t="str">
        <f>"00694767"</f>
        <v>00694767</v>
      </c>
    </row>
    <row r="11609" spans="1:2" x14ac:dyDescent="0.25">
      <c r="A11609" s="4">
        <v>11604</v>
      </c>
      <c r="B11609" s="3" t="str">
        <f>"00694768"</f>
        <v>00694768</v>
      </c>
    </row>
    <row r="11610" spans="1:2" x14ac:dyDescent="0.25">
      <c r="A11610" s="4">
        <v>11605</v>
      </c>
      <c r="B11610" s="3" t="str">
        <f>"00694773"</f>
        <v>00694773</v>
      </c>
    </row>
    <row r="11611" spans="1:2" x14ac:dyDescent="0.25">
      <c r="A11611" s="4">
        <v>11606</v>
      </c>
      <c r="B11611" s="3" t="str">
        <f>"00694775"</f>
        <v>00694775</v>
      </c>
    </row>
    <row r="11612" spans="1:2" x14ac:dyDescent="0.25">
      <c r="A11612" s="4">
        <v>11607</v>
      </c>
      <c r="B11612" s="3" t="str">
        <f>"00694777"</f>
        <v>00694777</v>
      </c>
    </row>
    <row r="11613" spans="1:2" x14ac:dyDescent="0.25">
      <c r="A11613" s="4">
        <v>11608</v>
      </c>
      <c r="B11613" s="3" t="str">
        <f>"00694789"</f>
        <v>00694789</v>
      </c>
    </row>
    <row r="11614" spans="1:2" x14ac:dyDescent="0.25">
      <c r="A11614" s="4">
        <v>11609</v>
      </c>
      <c r="B11614" s="3" t="str">
        <f>"00694791"</f>
        <v>00694791</v>
      </c>
    </row>
    <row r="11615" spans="1:2" x14ac:dyDescent="0.25">
      <c r="A11615" s="4">
        <v>11610</v>
      </c>
      <c r="B11615" s="3" t="str">
        <f>"00694794"</f>
        <v>00694794</v>
      </c>
    </row>
    <row r="11616" spans="1:2" x14ac:dyDescent="0.25">
      <c r="A11616" s="4">
        <v>11611</v>
      </c>
      <c r="B11616" s="3" t="str">
        <f>"00694818"</f>
        <v>00694818</v>
      </c>
    </row>
    <row r="11617" spans="1:2" x14ac:dyDescent="0.25">
      <c r="A11617" s="4">
        <v>11612</v>
      </c>
      <c r="B11617" s="3" t="str">
        <f>"00694824"</f>
        <v>00694824</v>
      </c>
    </row>
    <row r="11618" spans="1:2" x14ac:dyDescent="0.25">
      <c r="A11618" s="4">
        <v>11613</v>
      </c>
      <c r="B11618" s="3" t="str">
        <f>"00694828"</f>
        <v>00694828</v>
      </c>
    </row>
    <row r="11619" spans="1:2" x14ac:dyDescent="0.25">
      <c r="A11619" s="4">
        <v>11614</v>
      </c>
      <c r="B11619" s="3" t="str">
        <f>"00694835"</f>
        <v>00694835</v>
      </c>
    </row>
    <row r="11620" spans="1:2" x14ac:dyDescent="0.25">
      <c r="A11620" s="4">
        <v>11615</v>
      </c>
      <c r="B11620" s="3" t="str">
        <f>"00694844"</f>
        <v>00694844</v>
      </c>
    </row>
    <row r="11621" spans="1:2" x14ac:dyDescent="0.25">
      <c r="A11621" s="4">
        <v>11616</v>
      </c>
      <c r="B11621" s="3" t="str">
        <f>"00694846"</f>
        <v>00694846</v>
      </c>
    </row>
    <row r="11622" spans="1:2" x14ac:dyDescent="0.25">
      <c r="A11622" s="4">
        <v>11617</v>
      </c>
      <c r="B11622" s="3" t="str">
        <f>"00694858"</f>
        <v>00694858</v>
      </c>
    </row>
    <row r="11623" spans="1:2" x14ac:dyDescent="0.25">
      <c r="A11623" s="4">
        <v>11618</v>
      </c>
      <c r="B11623" s="3" t="str">
        <f>"00694868"</f>
        <v>00694868</v>
      </c>
    </row>
    <row r="11624" spans="1:2" x14ac:dyDescent="0.25">
      <c r="A11624" s="4">
        <v>11619</v>
      </c>
      <c r="B11624" s="3" t="str">
        <f>"00694871"</f>
        <v>00694871</v>
      </c>
    </row>
    <row r="11625" spans="1:2" x14ac:dyDescent="0.25">
      <c r="A11625" s="4">
        <v>11620</v>
      </c>
      <c r="B11625" s="3" t="str">
        <f>"00694878"</f>
        <v>00694878</v>
      </c>
    </row>
    <row r="11626" spans="1:2" x14ac:dyDescent="0.25">
      <c r="A11626" s="4">
        <v>11621</v>
      </c>
      <c r="B11626" s="3" t="str">
        <f>"00694887"</f>
        <v>00694887</v>
      </c>
    </row>
    <row r="11627" spans="1:2" x14ac:dyDescent="0.25">
      <c r="A11627" s="4">
        <v>11622</v>
      </c>
      <c r="B11627" s="3" t="str">
        <f>"00694896"</f>
        <v>00694896</v>
      </c>
    </row>
    <row r="11628" spans="1:2" x14ac:dyDescent="0.25">
      <c r="A11628" s="4">
        <v>11623</v>
      </c>
      <c r="B11628" s="3" t="str">
        <f>"00694908"</f>
        <v>00694908</v>
      </c>
    </row>
    <row r="11629" spans="1:2" x14ac:dyDescent="0.25">
      <c r="A11629" s="4">
        <v>11624</v>
      </c>
      <c r="B11629" s="3" t="str">
        <f>"00694909"</f>
        <v>00694909</v>
      </c>
    </row>
    <row r="11630" spans="1:2" x14ac:dyDescent="0.25">
      <c r="A11630" s="4">
        <v>11625</v>
      </c>
      <c r="B11630" s="3" t="str">
        <f>"00694912"</f>
        <v>00694912</v>
      </c>
    </row>
    <row r="11631" spans="1:2" x14ac:dyDescent="0.25">
      <c r="A11631" s="4">
        <v>11626</v>
      </c>
      <c r="B11631" s="3" t="str">
        <f>"00694921"</f>
        <v>00694921</v>
      </c>
    </row>
    <row r="11632" spans="1:2" x14ac:dyDescent="0.25">
      <c r="A11632" s="4">
        <v>11627</v>
      </c>
      <c r="B11632" s="3" t="str">
        <f>"00694923"</f>
        <v>00694923</v>
      </c>
    </row>
    <row r="11633" spans="1:2" x14ac:dyDescent="0.25">
      <c r="A11633" s="4">
        <v>11628</v>
      </c>
      <c r="B11633" s="3" t="str">
        <f>"00694926"</f>
        <v>00694926</v>
      </c>
    </row>
    <row r="11634" spans="1:2" x14ac:dyDescent="0.25">
      <c r="A11634" s="4">
        <v>11629</v>
      </c>
      <c r="B11634" s="3" t="str">
        <f>"00694927"</f>
        <v>00694927</v>
      </c>
    </row>
    <row r="11635" spans="1:2" x14ac:dyDescent="0.25">
      <c r="A11635" s="4">
        <v>11630</v>
      </c>
      <c r="B11635" s="3" t="str">
        <f>"00694928"</f>
        <v>00694928</v>
      </c>
    </row>
    <row r="11636" spans="1:2" x14ac:dyDescent="0.25">
      <c r="A11636" s="4">
        <v>11631</v>
      </c>
      <c r="B11636" s="3" t="str">
        <f>"00694934"</f>
        <v>00694934</v>
      </c>
    </row>
    <row r="11637" spans="1:2" x14ac:dyDescent="0.25">
      <c r="A11637" s="4">
        <v>11632</v>
      </c>
      <c r="B11637" s="3" t="str">
        <f>"00694938"</f>
        <v>00694938</v>
      </c>
    </row>
    <row r="11638" spans="1:2" x14ac:dyDescent="0.25">
      <c r="A11638" s="4">
        <v>11633</v>
      </c>
      <c r="B11638" s="3" t="str">
        <f>"00694946"</f>
        <v>00694946</v>
      </c>
    </row>
    <row r="11639" spans="1:2" x14ac:dyDescent="0.25">
      <c r="A11639" s="4">
        <v>11634</v>
      </c>
      <c r="B11639" s="3" t="str">
        <f>"00694948"</f>
        <v>00694948</v>
      </c>
    </row>
    <row r="11640" spans="1:2" x14ac:dyDescent="0.25">
      <c r="A11640" s="4">
        <v>11635</v>
      </c>
      <c r="B11640" s="3" t="str">
        <f>"00694962"</f>
        <v>00694962</v>
      </c>
    </row>
    <row r="11641" spans="1:2" x14ac:dyDescent="0.25">
      <c r="A11641" s="4">
        <v>11636</v>
      </c>
      <c r="B11641" s="3" t="str">
        <f>"00694973"</f>
        <v>00694973</v>
      </c>
    </row>
    <row r="11642" spans="1:2" x14ac:dyDescent="0.25">
      <c r="A11642" s="4">
        <v>11637</v>
      </c>
      <c r="B11642" s="3" t="str">
        <f>"00694979"</f>
        <v>00694979</v>
      </c>
    </row>
    <row r="11643" spans="1:2" x14ac:dyDescent="0.25">
      <c r="A11643" s="4">
        <v>11638</v>
      </c>
      <c r="B11643" s="3" t="str">
        <f>"00694980"</f>
        <v>00694980</v>
      </c>
    </row>
    <row r="11644" spans="1:2" x14ac:dyDescent="0.25">
      <c r="A11644" s="4">
        <v>11639</v>
      </c>
      <c r="B11644" s="3" t="str">
        <f>"00694981"</f>
        <v>00694981</v>
      </c>
    </row>
    <row r="11645" spans="1:2" x14ac:dyDescent="0.25">
      <c r="A11645" s="4">
        <v>11640</v>
      </c>
      <c r="B11645" s="3" t="str">
        <f>"00694995"</f>
        <v>00694995</v>
      </c>
    </row>
    <row r="11646" spans="1:2" x14ac:dyDescent="0.25">
      <c r="A11646" s="4">
        <v>11641</v>
      </c>
      <c r="B11646" s="3" t="str">
        <f>"00695004"</f>
        <v>00695004</v>
      </c>
    </row>
    <row r="11647" spans="1:2" x14ac:dyDescent="0.25">
      <c r="A11647" s="4">
        <v>11642</v>
      </c>
      <c r="B11647" s="3" t="str">
        <f>"00695008"</f>
        <v>00695008</v>
      </c>
    </row>
    <row r="11648" spans="1:2" x14ac:dyDescent="0.25">
      <c r="A11648" s="4">
        <v>11643</v>
      </c>
      <c r="B11648" s="3" t="str">
        <f>"00695016"</f>
        <v>00695016</v>
      </c>
    </row>
    <row r="11649" spans="1:2" x14ac:dyDescent="0.25">
      <c r="A11649" s="4">
        <v>11644</v>
      </c>
      <c r="B11649" s="3" t="str">
        <f>"00695020"</f>
        <v>00695020</v>
      </c>
    </row>
    <row r="11650" spans="1:2" x14ac:dyDescent="0.25">
      <c r="A11650" s="4">
        <v>11645</v>
      </c>
      <c r="B11650" s="3" t="str">
        <f>"00695030"</f>
        <v>00695030</v>
      </c>
    </row>
    <row r="11651" spans="1:2" x14ac:dyDescent="0.25">
      <c r="A11651" s="4">
        <v>11646</v>
      </c>
      <c r="B11651" s="3" t="str">
        <f>"00695032"</f>
        <v>00695032</v>
      </c>
    </row>
    <row r="11652" spans="1:2" x14ac:dyDescent="0.25">
      <c r="A11652" s="4">
        <v>11647</v>
      </c>
      <c r="B11652" s="3" t="str">
        <f>"00695033"</f>
        <v>00695033</v>
      </c>
    </row>
    <row r="11653" spans="1:2" x14ac:dyDescent="0.25">
      <c r="A11653" s="4">
        <v>11648</v>
      </c>
      <c r="B11653" s="3" t="str">
        <f>"00695034"</f>
        <v>00695034</v>
      </c>
    </row>
    <row r="11654" spans="1:2" x14ac:dyDescent="0.25">
      <c r="A11654" s="4">
        <v>11649</v>
      </c>
      <c r="B11654" s="3" t="str">
        <f>"00695039"</f>
        <v>00695039</v>
      </c>
    </row>
    <row r="11655" spans="1:2" x14ac:dyDescent="0.25">
      <c r="A11655" s="4">
        <v>11650</v>
      </c>
      <c r="B11655" s="3" t="str">
        <f>"00695050"</f>
        <v>00695050</v>
      </c>
    </row>
    <row r="11656" spans="1:2" x14ac:dyDescent="0.25">
      <c r="A11656" s="4">
        <v>11651</v>
      </c>
      <c r="B11656" s="3" t="str">
        <f>"00695055"</f>
        <v>00695055</v>
      </c>
    </row>
    <row r="11657" spans="1:2" x14ac:dyDescent="0.25">
      <c r="A11657" s="4">
        <v>11652</v>
      </c>
      <c r="B11657" s="3" t="str">
        <f>"00695058"</f>
        <v>00695058</v>
      </c>
    </row>
    <row r="11658" spans="1:2" x14ac:dyDescent="0.25">
      <c r="A11658" s="4">
        <v>11653</v>
      </c>
      <c r="B11658" s="3" t="str">
        <f>"00695062"</f>
        <v>00695062</v>
      </c>
    </row>
    <row r="11659" spans="1:2" x14ac:dyDescent="0.25">
      <c r="A11659" s="4">
        <v>11654</v>
      </c>
      <c r="B11659" s="3" t="str">
        <f>"00695069"</f>
        <v>00695069</v>
      </c>
    </row>
    <row r="11660" spans="1:2" x14ac:dyDescent="0.25">
      <c r="A11660" s="4">
        <v>11655</v>
      </c>
      <c r="B11660" s="3" t="str">
        <f>"00695075"</f>
        <v>00695075</v>
      </c>
    </row>
    <row r="11661" spans="1:2" x14ac:dyDescent="0.25">
      <c r="A11661" s="4">
        <v>11656</v>
      </c>
      <c r="B11661" s="3" t="str">
        <f>"00695077"</f>
        <v>00695077</v>
      </c>
    </row>
    <row r="11662" spans="1:2" x14ac:dyDescent="0.25">
      <c r="A11662" s="4">
        <v>11657</v>
      </c>
      <c r="B11662" s="3" t="str">
        <f>"00695085"</f>
        <v>00695085</v>
      </c>
    </row>
    <row r="11663" spans="1:2" x14ac:dyDescent="0.25">
      <c r="A11663" s="4">
        <v>11658</v>
      </c>
      <c r="B11663" s="3" t="str">
        <f>"00695088"</f>
        <v>00695088</v>
      </c>
    </row>
    <row r="11664" spans="1:2" x14ac:dyDescent="0.25">
      <c r="A11664" s="4">
        <v>11659</v>
      </c>
      <c r="B11664" s="3" t="str">
        <f>"00695092"</f>
        <v>00695092</v>
      </c>
    </row>
    <row r="11665" spans="1:2" x14ac:dyDescent="0.25">
      <c r="A11665" s="4">
        <v>11660</v>
      </c>
      <c r="B11665" s="3" t="str">
        <f>"00695093"</f>
        <v>00695093</v>
      </c>
    </row>
    <row r="11666" spans="1:2" x14ac:dyDescent="0.25">
      <c r="A11666" s="4">
        <v>11661</v>
      </c>
      <c r="B11666" s="3" t="str">
        <f>"00695094"</f>
        <v>00695094</v>
      </c>
    </row>
    <row r="11667" spans="1:2" x14ac:dyDescent="0.25">
      <c r="A11667" s="4">
        <v>11662</v>
      </c>
      <c r="B11667" s="3" t="str">
        <f>"00695099"</f>
        <v>00695099</v>
      </c>
    </row>
    <row r="11668" spans="1:2" x14ac:dyDescent="0.25">
      <c r="A11668" s="4">
        <v>11663</v>
      </c>
      <c r="B11668" s="3" t="str">
        <f>"00695100"</f>
        <v>00695100</v>
      </c>
    </row>
    <row r="11669" spans="1:2" x14ac:dyDescent="0.25">
      <c r="A11669" s="4">
        <v>11664</v>
      </c>
      <c r="B11669" s="3" t="str">
        <f>"00695126"</f>
        <v>00695126</v>
      </c>
    </row>
    <row r="11670" spans="1:2" x14ac:dyDescent="0.25">
      <c r="A11670" s="4">
        <v>11665</v>
      </c>
      <c r="B11670" s="3" t="str">
        <f>"00695130"</f>
        <v>00695130</v>
      </c>
    </row>
    <row r="11671" spans="1:2" x14ac:dyDescent="0.25">
      <c r="A11671" s="4">
        <v>11666</v>
      </c>
      <c r="B11671" s="3" t="str">
        <f>"00695136"</f>
        <v>00695136</v>
      </c>
    </row>
    <row r="11672" spans="1:2" x14ac:dyDescent="0.25">
      <c r="A11672" s="4">
        <v>11667</v>
      </c>
      <c r="B11672" s="3" t="str">
        <f>"00695143"</f>
        <v>00695143</v>
      </c>
    </row>
    <row r="11673" spans="1:2" x14ac:dyDescent="0.25">
      <c r="A11673" s="4">
        <v>11668</v>
      </c>
      <c r="B11673" s="3" t="str">
        <f>"00695149"</f>
        <v>00695149</v>
      </c>
    </row>
    <row r="11674" spans="1:2" x14ac:dyDescent="0.25">
      <c r="A11674" s="4">
        <v>11669</v>
      </c>
      <c r="B11674" s="3" t="str">
        <f>"00695151"</f>
        <v>00695151</v>
      </c>
    </row>
    <row r="11675" spans="1:2" x14ac:dyDescent="0.25">
      <c r="A11675" s="4">
        <v>11670</v>
      </c>
      <c r="B11675" s="3" t="str">
        <f>"00695152"</f>
        <v>00695152</v>
      </c>
    </row>
    <row r="11676" spans="1:2" x14ac:dyDescent="0.25">
      <c r="A11676" s="4">
        <v>11671</v>
      </c>
      <c r="B11676" s="3" t="str">
        <f>"00695159"</f>
        <v>00695159</v>
      </c>
    </row>
    <row r="11677" spans="1:2" x14ac:dyDescent="0.25">
      <c r="A11677" s="4">
        <v>11672</v>
      </c>
      <c r="B11677" s="3" t="str">
        <f>"00695162"</f>
        <v>00695162</v>
      </c>
    </row>
    <row r="11678" spans="1:2" x14ac:dyDescent="0.25">
      <c r="A11678" s="4">
        <v>11673</v>
      </c>
      <c r="B11678" s="3" t="str">
        <f>"00695168"</f>
        <v>00695168</v>
      </c>
    </row>
    <row r="11679" spans="1:2" x14ac:dyDescent="0.25">
      <c r="A11679" s="4">
        <v>11674</v>
      </c>
      <c r="B11679" s="3" t="str">
        <f>"00695176"</f>
        <v>00695176</v>
      </c>
    </row>
    <row r="11680" spans="1:2" x14ac:dyDescent="0.25">
      <c r="A11680" s="4">
        <v>11675</v>
      </c>
      <c r="B11680" s="3" t="str">
        <f>"00695184"</f>
        <v>00695184</v>
      </c>
    </row>
    <row r="11681" spans="1:2" x14ac:dyDescent="0.25">
      <c r="A11681" s="4">
        <v>11676</v>
      </c>
      <c r="B11681" s="3" t="str">
        <f>"00695189"</f>
        <v>00695189</v>
      </c>
    </row>
    <row r="11682" spans="1:2" x14ac:dyDescent="0.25">
      <c r="A11682" s="4">
        <v>11677</v>
      </c>
      <c r="B11682" s="3" t="str">
        <f>"00695198"</f>
        <v>00695198</v>
      </c>
    </row>
    <row r="11683" spans="1:2" x14ac:dyDescent="0.25">
      <c r="A11683" s="4">
        <v>11678</v>
      </c>
      <c r="B11683" s="3" t="str">
        <f>"00695200"</f>
        <v>00695200</v>
      </c>
    </row>
    <row r="11684" spans="1:2" x14ac:dyDescent="0.25">
      <c r="A11684" s="4">
        <v>11679</v>
      </c>
      <c r="B11684" s="3" t="str">
        <f>"00695202"</f>
        <v>00695202</v>
      </c>
    </row>
    <row r="11685" spans="1:2" x14ac:dyDescent="0.25">
      <c r="A11685" s="4">
        <v>11680</v>
      </c>
      <c r="B11685" s="3" t="str">
        <f>"00695203"</f>
        <v>00695203</v>
      </c>
    </row>
    <row r="11686" spans="1:2" x14ac:dyDescent="0.25">
      <c r="A11686" s="4">
        <v>11681</v>
      </c>
      <c r="B11686" s="3" t="str">
        <f>"00695205"</f>
        <v>00695205</v>
      </c>
    </row>
    <row r="11687" spans="1:2" x14ac:dyDescent="0.25">
      <c r="A11687" s="4">
        <v>11682</v>
      </c>
      <c r="B11687" s="3" t="str">
        <f>"00695209"</f>
        <v>00695209</v>
      </c>
    </row>
    <row r="11688" spans="1:2" x14ac:dyDescent="0.25">
      <c r="A11688" s="4">
        <v>11683</v>
      </c>
      <c r="B11688" s="3" t="str">
        <f>"00695213"</f>
        <v>00695213</v>
      </c>
    </row>
    <row r="11689" spans="1:2" x14ac:dyDescent="0.25">
      <c r="A11689" s="4">
        <v>11684</v>
      </c>
      <c r="B11689" s="3" t="str">
        <f>"00695215"</f>
        <v>00695215</v>
      </c>
    </row>
    <row r="11690" spans="1:2" x14ac:dyDescent="0.25">
      <c r="A11690" s="4">
        <v>11685</v>
      </c>
      <c r="B11690" s="3" t="str">
        <f>"00695220"</f>
        <v>00695220</v>
      </c>
    </row>
    <row r="11691" spans="1:2" x14ac:dyDescent="0.25">
      <c r="A11691" s="4">
        <v>11686</v>
      </c>
      <c r="B11691" s="3" t="str">
        <f>"00695226"</f>
        <v>00695226</v>
      </c>
    </row>
    <row r="11692" spans="1:2" x14ac:dyDescent="0.25">
      <c r="A11692" s="4">
        <v>11687</v>
      </c>
      <c r="B11692" s="3" t="str">
        <f>"00695230"</f>
        <v>00695230</v>
      </c>
    </row>
    <row r="11693" spans="1:2" x14ac:dyDescent="0.25">
      <c r="A11693" s="4">
        <v>11688</v>
      </c>
      <c r="B11693" s="3" t="str">
        <f>"00695245"</f>
        <v>00695245</v>
      </c>
    </row>
    <row r="11694" spans="1:2" x14ac:dyDescent="0.25">
      <c r="A11694" s="4">
        <v>11689</v>
      </c>
      <c r="B11694" s="3" t="str">
        <f>"00695246"</f>
        <v>00695246</v>
      </c>
    </row>
    <row r="11695" spans="1:2" x14ac:dyDescent="0.25">
      <c r="A11695" s="4">
        <v>11690</v>
      </c>
      <c r="B11695" s="3" t="str">
        <f>"00695248"</f>
        <v>00695248</v>
      </c>
    </row>
    <row r="11696" spans="1:2" x14ac:dyDescent="0.25">
      <c r="A11696" s="4">
        <v>11691</v>
      </c>
      <c r="B11696" s="3" t="str">
        <f>"00695255"</f>
        <v>00695255</v>
      </c>
    </row>
    <row r="11697" spans="1:2" x14ac:dyDescent="0.25">
      <c r="A11697" s="4">
        <v>11692</v>
      </c>
      <c r="B11697" s="3" t="str">
        <f>"00695257"</f>
        <v>00695257</v>
      </c>
    </row>
    <row r="11698" spans="1:2" x14ac:dyDescent="0.25">
      <c r="A11698" s="4">
        <v>11693</v>
      </c>
      <c r="B11698" s="3" t="str">
        <f>"00695260"</f>
        <v>00695260</v>
      </c>
    </row>
    <row r="11699" spans="1:2" x14ac:dyDescent="0.25">
      <c r="A11699" s="4">
        <v>11694</v>
      </c>
      <c r="B11699" s="3" t="str">
        <f>"00695266"</f>
        <v>00695266</v>
      </c>
    </row>
    <row r="11700" spans="1:2" x14ac:dyDescent="0.25">
      <c r="A11700" s="4">
        <v>11695</v>
      </c>
      <c r="B11700" s="3" t="str">
        <f>"00695267"</f>
        <v>00695267</v>
      </c>
    </row>
    <row r="11701" spans="1:2" x14ac:dyDescent="0.25">
      <c r="A11701" s="4">
        <v>11696</v>
      </c>
      <c r="B11701" s="3" t="str">
        <f>"00695271"</f>
        <v>00695271</v>
      </c>
    </row>
    <row r="11702" spans="1:2" x14ac:dyDescent="0.25">
      <c r="A11702" s="4">
        <v>11697</v>
      </c>
      <c r="B11702" s="3" t="str">
        <f>"00695276"</f>
        <v>00695276</v>
      </c>
    </row>
    <row r="11703" spans="1:2" x14ac:dyDescent="0.25">
      <c r="A11703" s="4">
        <v>11698</v>
      </c>
      <c r="B11703" s="3" t="str">
        <f>"00695279"</f>
        <v>00695279</v>
      </c>
    </row>
    <row r="11704" spans="1:2" x14ac:dyDescent="0.25">
      <c r="A11704" s="4">
        <v>11699</v>
      </c>
      <c r="B11704" s="3" t="str">
        <f>"00695295"</f>
        <v>00695295</v>
      </c>
    </row>
    <row r="11705" spans="1:2" x14ac:dyDescent="0.25">
      <c r="A11705" s="4">
        <v>11700</v>
      </c>
      <c r="B11705" s="3" t="str">
        <f>"00695310"</f>
        <v>00695310</v>
      </c>
    </row>
    <row r="11706" spans="1:2" x14ac:dyDescent="0.25">
      <c r="A11706" s="4">
        <v>11701</v>
      </c>
      <c r="B11706" s="3" t="str">
        <f>"00695315"</f>
        <v>00695315</v>
      </c>
    </row>
    <row r="11707" spans="1:2" x14ac:dyDescent="0.25">
      <c r="A11707" s="4">
        <v>11702</v>
      </c>
      <c r="B11707" s="3" t="str">
        <f>"00695320"</f>
        <v>00695320</v>
      </c>
    </row>
    <row r="11708" spans="1:2" x14ac:dyDescent="0.25">
      <c r="A11708" s="4">
        <v>11703</v>
      </c>
      <c r="B11708" s="3" t="str">
        <f>"00695324"</f>
        <v>00695324</v>
      </c>
    </row>
    <row r="11709" spans="1:2" x14ac:dyDescent="0.25">
      <c r="A11709" s="4">
        <v>11704</v>
      </c>
      <c r="B11709" s="3" t="str">
        <f>"00695326"</f>
        <v>00695326</v>
      </c>
    </row>
    <row r="11710" spans="1:2" x14ac:dyDescent="0.25">
      <c r="A11710" s="4">
        <v>11705</v>
      </c>
      <c r="B11710" s="3" t="str">
        <f>"00695330"</f>
        <v>00695330</v>
      </c>
    </row>
    <row r="11711" spans="1:2" x14ac:dyDescent="0.25">
      <c r="A11711" s="4">
        <v>11706</v>
      </c>
      <c r="B11711" s="3" t="str">
        <f>"00695333"</f>
        <v>00695333</v>
      </c>
    </row>
    <row r="11712" spans="1:2" x14ac:dyDescent="0.25">
      <c r="A11712" s="4">
        <v>11707</v>
      </c>
      <c r="B11712" s="3" t="str">
        <f>"00695347"</f>
        <v>00695347</v>
      </c>
    </row>
    <row r="11713" spans="1:2" x14ac:dyDescent="0.25">
      <c r="A11713" s="4">
        <v>11708</v>
      </c>
      <c r="B11713" s="3" t="str">
        <f>"00695356"</f>
        <v>00695356</v>
      </c>
    </row>
    <row r="11714" spans="1:2" x14ac:dyDescent="0.25">
      <c r="A11714" s="4">
        <v>11709</v>
      </c>
      <c r="B11714" s="3" t="str">
        <f>"00695359"</f>
        <v>00695359</v>
      </c>
    </row>
    <row r="11715" spans="1:2" x14ac:dyDescent="0.25">
      <c r="A11715" s="4">
        <v>11710</v>
      </c>
      <c r="B11715" s="3" t="str">
        <f>"00695363"</f>
        <v>00695363</v>
      </c>
    </row>
    <row r="11716" spans="1:2" x14ac:dyDescent="0.25">
      <c r="A11716" s="4">
        <v>11711</v>
      </c>
      <c r="B11716" s="3" t="str">
        <f>"00695370"</f>
        <v>00695370</v>
      </c>
    </row>
    <row r="11717" spans="1:2" x14ac:dyDescent="0.25">
      <c r="A11717" s="4">
        <v>11712</v>
      </c>
      <c r="B11717" s="3" t="str">
        <f>"00695387"</f>
        <v>00695387</v>
      </c>
    </row>
    <row r="11718" spans="1:2" x14ac:dyDescent="0.25">
      <c r="A11718" s="4">
        <v>11713</v>
      </c>
      <c r="B11718" s="3" t="str">
        <f>"00695396"</f>
        <v>00695396</v>
      </c>
    </row>
    <row r="11719" spans="1:2" x14ac:dyDescent="0.25">
      <c r="A11719" s="4">
        <v>11714</v>
      </c>
      <c r="B11719" s="3" t="str">
        <f>"00695398"</f>
        <v>00695398</v>
      </c>
    </row>
    <row r="11720" spans="1:2" x14ac:dyDescent="0.25">
      <c r="A11720" s="4">
        <v>11715</v>
      </c>
      <c r="B11720" s="3" t="str">
        <f>"00695399"</f>
        <v>00695399</v>
      </c>
    </row>
    <row r="11721" spans="1:2" x14ac:dyDescent="0.25">
      <c r="A11721" s="4">
        <v>11716</v>
      </c>
      <c r="B11721" s="3" t="str">
        <f>"00695400"</f>
        <v>00695400</v>
      </c>
    </row>
    <row r="11722" spans="1:2" x14ac:dyDescent="0.25">
      <c r="A11722" s="4">
        <v>11717</v>
      </c>
      <c r="B11722" s="3" t="str">
        <f>"00695401"</f>
        <v>00695401</v>
      </c>
    </row>
    <row r="11723" spans="1:2" x14ac:dyDescent="0.25">
      <c r="A11723" s="4">
        <v>11718</v>
      </c>
      <c r="B11723" s="3" t="str">
        <f>"00695404"</f>
        <v>00695404</v>
      </c>
    </row>
    <row r="11724" spans="1:2" x14ac:dyDescent="0.25">
      <c r="A11724" s="4">
        <v>11719</v>
      </c>
      <c r="B11724" s="3" t="str">
        <f>"00695405"</f>
        <v>00695405</v>
      </c>
    </row>
    <row r="11725" spans="1:2" x14ac:dyDescent="0.25">
      <c r="A11725" s="4">
        <v>11720</v>
      </c>
      <c r="B11725" s="3" t="str">
        <f>"00695409"</f>
        <v>00695409</v>
      </c>
    </row>
    <row r="11726" spans="1:2" x14ac:dyDescent="0.25">
      <c r="A11726" s="4">
        <v>11721</v>
      </c>
      <c r="B11726" s="3" t="str">
        <f>"00695412"</f>
        <v>00695412</v>
      </c>
    </row>
    <row r="11727" spans="1:2" x14ac:dyDescent="0.25">
      <c r="A11727" s="4">
        <v>11722</v>
      </c>
      <c r="B11727" s="3" t="str">
        <f>"00695414"</f>
        <v>00695414</v>
      </c>
    </row>
    <row r="11728" spans="1:2" x14ac:dyDescent="0.25">
      <c r="A11728" s="4">
        <v>11723</v>
      </c>
      <c r="B11728" s="3" t="str">
        <f>"00695421"</f>
        <v>00695421</v>
      </c>
    </row>
    <row r="11729" spans="1:2" x14ac:dyDescent="0.25">
      <c r="A11729" s="4">
        <v>11724</v>
      </c>
      <c r="B11729" s="3" t="str">
        <f>"00695422"</f>
        <v>00695422</v>
      </c>
    </row>
    <row r="11730" spans="1:2" x14ac:dyDescent="0.25">
      <c r="A11730" s="4">
        <v>11725</v>
      </c>
      <c r="B11730" s="3" t="str">
        <f>"00695429"</f>
        <v>00695429</v>
      </c>
    </row>
    <row r="11731" spans="1:2" x14ac:dyDescent="0.25">
      <c r="A11731" s="4">
        <v>11726</v>
      </c>
      <c r="B11731" s="3" t="str">
        <f>"00695433"</f>
        <v>00695433</v>
      </c>
    </row>
    <row r="11732" spans="1:2" x14ac:dyDescent="0.25">
      <c r="A11732" s="4">
        <v>11727</v>
      </c>
      <c r="B11732" s="3" t="str">
        <f>"00695438"</f>
        <v>00695438</v>
      </c>
    </row>
    <row r="11733" spans="1:2" x14ac:dyDescent="0.25">
      <c r="A11733" s="4">
        <v>11728</v>
      </c>
      <c r="B11733" s="3" t="str">
        <f>"00695439"</f>
        <v>00695439</v>
      </c>
    </row>
    <row r="11734" spans="1:2" x14ac:dyDescent="0.25">
      <c r="A11734" s="4">
        <v>11729</v>
      </c>
      <c r="B11734" s="3" t="str">
        <f>"00695445"</f>
        <v>00695445</v>
      </c>
    </row>
    <row r="11735" spans="1:2" x14ac:dyDescent="0.25">
      <c r="A11735" s="4">
        <v>11730</v>
      </c>
      <c r="B11735" s="3" t="str">
        <f>"00695450"</f>
        <v>00695450</v>
      </c>
    </row>
    <row r="11736" spans="1:2" x14ac:dyDescent="0.25">
      <c r="A11736" s="4">
        <v>11731</v>
      </c>
      <c r="B11736" s="3" t="str">
        <f>"00695456"</f>
        <v>00695456</v>
      </c>
    </row>
    <row r="11737" spans="1:2" x14ac:dyDescent="0.25">
      <c r="A11737" s="4">
        <v>11732</v>
      </c>
      <c r="B11737" s="3" t="str">
        <f>"00695459"</f>
        <v>00695459</v>
      </c>
    </row>
    <row r="11738" spans="1:2" x14ac:dyDescent="0.25">
      <c r="A11738" s="4">
        <v>11733</v>
      </c>
      <c r="B11738" s="3" t="str">
        <f>"00695495"</f>
        <v>00695495</v>
      </c>
    </row>
    <row r="11739" spans="1:2" x14ac:dyDescent="0.25">
      <c r="A11739" s="4">
        <v>11734</v>
      </c>
      <c r="B11739" s="3" t="str">
        <f>"00695609"</f>
        <v>00695609</v>
      </c>
    </row>
    <row r="11740" spans="1:2" x14ac:dyDescent="0.25">
      <c r="A11740" s="4">
        <v>11735</v>
      </c>
      <c r="B11740" s="3" t="str">
        <f>"00695610"</f>
        <v>00695610</v>
      </c>
    </row>
    <row r="11741" spans="1:2" x14ac:dyDescent="0.25">
      <c r="A11741" s="4">
        <v>11736</v>
      </c>
      <c r="B11741" s="3" t="str">
        <f>"00695613"</f>
        <v>00695613</v>
      </c>
    </row>
    <row r="11742" spans="1:2" x14ac:dyDescent="0.25">
      <c r="A11742" s="4">
        <v>11737</v>
      </c>
      <c r="B11742" s="3" t="str">
        <f>"00695643"</f>
        <v>00695643</v>
      </c>
    </row>
    <row r="11743" spans="1:2" x14ac:dyDescent="0.25">
      <c r="A11743" s="4">
        <v>11738</v>
      </c>
      <c r="B11743" s="3" t="str">
        <f>"00695644"</f>
        <v>00695644</v>
      </c>
    </row>
    <row r="11744" spans="1:2" x14ac:dyDescent="0.25">
      <c r="A11744" s="4">
        <v>11739</v>
      </c>
      <c r="B11744" s="3" t="str">
        <f>"00695646"</f>
        <v>00695646</v>
      </c>
    </row>
    <row r="11745" spans="1:2" x14ac:dyDescent="0.25">
      <c r="A11745" s="4">
        <v>11740</v>
      </c>
      <c r="B11745" s="3" t="str">
        <f>"00695677"</f>
        <v>00695677</v>
      </c>
    </row>
    <row r="11746" spans="1:2" x14ac:dyDescent="0.25">
      <c r="A11746" s="4">
        <v>11741</v>
      </c>
      <c r="B11746" s="3" t="str">
        <f>"00695682"</f>
        <v>00695682</v>
      </c>
    </row>
    <row r="11747" spans="1:2" x14ac:dyDescent="0.25">
      <c r="A11747" s="4">
        <v>11742</v>
      </c>
      <c r="B11747" s="3" t="str">
        <f>"00695693"</f>
        <v>00695693</v>
      </c>
    </row>
    <row r="11748" spans="1:2" x14ac:dyDescent="0.25">
      <c r="A11748" s="4">
        <v>11743</v>
      </c>
      <c r="B11748" s="3" t="str">
        <f>"00695760"</f>
        <v>00695760</v>
      </c>
    </row>
    <row r="11749" spans="1:2" x14ac:dyDescent="0.25">
      <c r="A11749" s="4">
        <v>11744</v>
      </c>
      <c r="B11749" s="3" t="str">
        <f>"00695887"</f>
        <v>00695887</v>
      </c>
    </row>
    <row r="11750" spans="1:2" x14ac:dyDescent="0.25">
      <c r="A11750" s="4">
        <v>11745</v>
      </c>
      <c r="B11750" s="3" t="str">
        <f>"00695918"</f>
        <v>00695918</v>
      </c>
    </row>
    <row r="11751" spans="1:2" x14ac:dyDescent="0.25">
      <c r="A11751" s="4">
        <v>11746</v>
      </c>
      <c r="B11751" s="3" t="str">
        <f>"00695952"</f>
        <v>00695952</v>
      </c>
    </row>
    <row r="11752" spans="1:2" x14ac:dyDescent="0.25">
      <c r="A11752" s="4">
        <v>11747</v>
      </c>
      <c r="B11752" s="3" t="str">
        <f>"00696001"</f>
        <v>00696001</v>
      </c>
    </row>
    <row r="11753" spans="1:2" x14ac:dyDescent="0.25">
      <c r="A11753" s="4">
        <v>11748</v>
      </c>
      <c r="B11753" s="3" t="str">
        <f>"00696029"</f>
        <v>00696029</v>
      </c>
    </row>
    <row r="11754" spans="1:2" x14ac:dyDescent="0.25">
      <c r="A11754" s="4">
        <v>11749</v>
      </c>
      <c r="B11754" s="3" t="str">
        <f>"00696039"</f>
        <v>00696039</v>
      </c>
    </row>
    <row r="11755" spans="1:2" x14ac:dyDescent="0.25">
      <c r="A11755" s="4">
        <v>11750</v>
      </c>
      <c r="B11755" s="3" t="str">
        <f>"00696041"</f>
        <v>00696041</v>
      </c>
    </row>
    <row r="11756" spans="1:2" x14ac:dyDescent="0.25">
      <c r="A11756" s="4">
        <v>11751</v>
      </c>
      <c r="B11756" s="3" t="str">
        <f>"00696052"</f>
        <v>00696052</v>
      </c>
    </row>
    <row r="11757" spans="1:2" x14ac:dyDescent="0.25">
      <c r="A11757" s="4">
        <v>11752</v>
      </c>
      <c r="B11757" s="3" t="str">
        <f>"00696059"</f>
        <v>00696059</v>
      </c>
    </row>
    <row r="11758" spans="1:2" x14ac:dyDescent="0.25">
      <c r="A11758" s="4">
        <v>11753</v>
      </c>
      <c r="B11758" s="3" t="str">
        <f>"00696066"</f>
        <v>00696066</v>
      </c>
    </row>
    <row r="11759" spans="1:2" x14ac:dyDescent="0.25">
      <c r="A11759" s="4">
        <v>11754</v>
      </c>
      <c r="B11759" s="3" t="str">
        <f>"00696068"</f>
        <v>00696068</v>
      </c>
    </row>
    <row r="11760" spans="1:2" x14ac:dyDescent="0.25">
      <c r="A11760" s="4">
        <v>11755</v>
      </c>
      <c r="B11760" s="3" t="str">
        <f>"00696079"</f>
        <v>00696079</v>
      </c>
    </row>
    <row r="11761" spans="1:2" x14ac:dyDescent="0.25">
      <c r="A11761" s="4">
        <v>11756</v>
      </c>
      <c r="B11761" s="3" t="str">
        <f>"00696080"</f>
        <v>00696080</v>
      </c>
    </row>
    <row r="11762" spans="1:2" x14ac:dyDescent="0.25">
      <c r="A11762" s="4">
        <v>11757</v>
      </c>
      <c r="B11762" s="3" t="str">
        <f>"00696086"</f>
        <v>00696086</v>
      </c>
    </row>
    <row r="11763" spans="1:2" x14ac:dyDescent="0.25">
      <c r="A11763" s="4">
        <v>11758</v>
      </c>
      <c r="B11763" s="3" t="str">
        <f>"00696090"</f>
        <v>00696090</v>
      </c>
    </row>
    <row r="11764" spans="1:2" x14ac:dyDescent="0.25">
      <c r="A11764" s="4">
        <v>11759</v>
      </c>
      <c r="B11764" s="3" t="str">
        <f>"00696096"</f>
        <v>00696096</v>
      </c>
    </row>
    <row r="11765" spans="1:2" x14ac:dyDescent="0.25">
      <c r="A11765" s="4">
        <v>11760</v>
      </c>
      <c r="B11765" s="3" t="str">
        <f>"00696102"</f>
        <v>00696102</v>
      </c>
    </row>
    <row r="11766" spans="1:2" x14ac:dyDescent="0.25">
      <c r="A11766" s="4">
        <v>11761</v>
      </c>
      <c r="B11766" s="3" t="str">
        <f>"00696106"</f>
        <v>00696106</v>
      </c>
    </row>
    <row r="11767" spans="1:2" x14ac:dyDescent="0.25">
      <c r="A11767" s="4">
        <v>11762</v>
      </c>
      <c r="B11767" s="3" t="str">
        <f>"00696109"</f>
        <v>00696109</v>
      </c>
    </row>
    <row r="11768" spans="1:2" x14ac:dyDescent="0.25">
      <c r="A11768" s="4">
        <v>11763</v>
      </c>
      <c r="B11768" s="3" t="str">
        <f>"00696110"</f>
        <v>00696110</v>
      </c>
    </row>
    <row r="11769" spans="1:2" x14ac:dyDescent="0.25">
      <c r="A11769" s="4">
        <v>11764</v>
      </c>
      <c r="B11769" s="3" t="str">
        <f>"00696113"</f>
        <v>00696113</v>
      </c>
    </row>
    <row r="11770" spans="1:2" x14ac:dyDescent="0.25">
      <c r="A11770" s="4">
        <v>11765</v>
      </c>
      <c r="B11770" s="3" t="str">
        <f>"00696116"</f>
        <v>00696116</v>
      </c>
    </row>
    <row r="11771" spans="1:2" x14ac:dyDescent="0.25">
      <c r="A11771" s="4">
        <v>11766</v>
      </c>
      <c r="B11771" s="3" t="str">
        <f>"00696128"</f>
        <v>00696128</v>
      </c>
    </row>
    <row r="11772" spans="1:2" x14ac:dyDescent="0.25">
      <c r="A11772" s="4">
        <v>11767</v>
      </c>
      <c r="B11772" s="3" t="str">
        <f>"00696131"</f>
        <v>00696131</v>
      </c>
    </row>
    <row r="11773" spans="1:2" x14ac:dyDescent="0.25">
      <c r="A11773" s="4">
        <v>11768</v>
      </c>
      <c r="B11773" s="3" t="str">
        <f>"00696135"</f>
        <v>00696135</v>
      </c>
    </row>
    <row r="11774" spans="1:2" x14ac:dyDescent="0.25">
      <c r="A11774" s="4">
        <v>11769</v>
      </c>
      <c r="B11774" s="3" t="str">
        <f>"00696137"</f>
        <v>00696137</v>
      </c>
    </row>
    <row r="11775" spans="1:2" x14ac:dyDescent="0.25">
      <c r="A11775" s="4">
        <v>11770</v>
      </c>
      <c r="B11775" s="3" t="str">
        <f>"00696158"</f>
        <v>00696158</v>
      </c>
    </row>
    <row r="11776" spans="1:2" x14ac:dyDescent="0.25">
      <c r="A11776" s="4">
        <v>11771</v>
      </c>
      <c r="B11776" s="3" t="str">
        <f>"00696163"</f>
        <v>00696163</v>
      </c>
    </row>
    <row r="11777" spans="1:2" x14ac:dyDescent="0.25">
      <c r="A11777" s="4">
        <v>11772</v>
      </c>
      <c r="B11777" s="3" t="str">
        <f>"00696166"</f>
        <v>00696166</v>
      </c>
    </row>
    <row r="11778" spans="1:2" x14ac:dyDescent="0.25">
      <c r="A11778" s="4">
        <v>11773</v>
      </c>
      <c r="B11778" s="3" t="str">
        <f>"00696169"</f>
        <v>00696169</v>
      </c>
    </row>
    <row r="11779" spans="1:2" x14ac:dyDescent="0.25">
      <c r="A11779" s="4">
        <v>11774</v>
      </c>
      <c r="B11779" s="3" t="str">
        <f>"00696170"</f>
        <v>00696170</v>
      </c>
    </row>
    <row r="11780" spans="1:2" x14ac:dyDescent="0.25">
      <c r="A11780" s="4">
        <v>11775</v>
      </c>
      <c r="B11780" s="3" t="str">
        <f>"00696191"</f>
        <v>00696191</v>
      </c>
    </row>
    <row r="11781" spans="1:2" x14ac:dyDescent="0.25">
      <c r="A11781" s="4">
        <v>11776</v>
      </c>
      <c r="B11781" s="3" t="str">
        <f>"00696202"</f>
        <v>00696202</v>
      </c>
    </row>
    <row r="11782" spans="1:2" x14ac:dyDescent="0.25">
      <c r="A11782" s="4">
        <v>11777</v>
      </c>
      <c r="B11782" s="3" t="str">
        <f>"00696203"</f>
        <v>00696203</v>
      </c>
    </row>
    <row r="11783" spans="1:2" x14ac:dyDescent="0.25">
      <c r="A11783" s="4">
        <v>11778</v>
      </c>
      <c r="B11783" s="3" t="str">
        <f>"00696209"</f>
        <v>00696209</v>
      </c>
    </row>
    <row r="11784" spans="1:2" x14ac:dyDescent="0.25">
      <c r="A11784" s="4">
        <v>11779</v>
      </c>
      <c r="B11784" s="3" t="str">
        <f>"00696212"</f>
        <v>00696212</v>
      </c>
    </row>
    <row r="11785" spans="1:2" x14ac:dyDescent="0.25">
      <c r="A11785" s="4">
        <v>11780</v>
      </c>
      <c r="B11785" s="3" t="str">
        <f>"00696229"</f>
        <v>00696229</v>
      </c>
    </row>
    <row r="11786" spans="1:2" x14ac:dyDescent="0.25">
      <c r="A11786" s="4">
        <v>11781</v>
      </c>
      <c r="B11786" s="3" t="str">
        <f>"00696235"</f>
        <v>00696235</v>
      </c>
    </row>
    <row r="11787" spans="1:2" x14ac:dyDescent="0.25">
      <c r="A11787" s="4">
        <v>11782</v>
      </c>
      <c r="B11787" s="3" t="str">
        <f>"00696239"</f>
        <v>00696239</v>
      </c>
    </row>
    <row r="11788" spans="1:2" x14ac:dyDescent="0.25">
      <c r="A11788" s="4">
        <v>11783</v>
      </c>
      <c r="B11788" s="3" t="str">
        <f>"00696243"</f>
        <v>00696243</v>
      </c>
    </row>
    <row r="11789" spans="1:2" x14ac:dyDescent="0.25">
      <c r="A11789" s="4">
        <v>11784</v>
      </c>
      <c r="B11789" s="3" t="str">
        <f>"00696245"</f>
        <v>00696245</v>
      </c>
    </row>
    <row r="11790" spans="1:2" x14ac:dyDescent="0.25">
      <c r="A11790" s="4">
        <v>11785</v>
      </c>
      <c r="B11790" s="3" t="str">
        <f>"00696249"</f>
        <v>00696249</v>
      </c>
    </row>
    <row r="11791" spans="1:2" x14ac:dyDescent="0.25">
      <c r="A11791" s="4">
        <v>11786</v>
      </c>
      <c r="B11791" s="3" t="str">
        <f>"00696253"</f>
        <v>00696253</v>
      </c>
    </row>
    <row r="11792" spans="1:2" x14ac:dyDescent="0.25">
      <c r="A11792" s="4">
        <v>11787</v>
      </c>
      <c r="B11792" s="3" t="str">
        <f>"00696258"</f>
        <v>00696258</v>
      </c>
    </row>
    <row r="11793" spans="1:2" x14ac:dyDescent="0.25">
      <c r="A11793" s="4">
        <v>11788</v>
      </c>
      <c r="B11793" s="3" t="str">
        <f>"00696259"</f>
        <v>00696259</v>
      </c>
    </row>
    <row r="11794" spans="1:2" x14ac:dyDescent="0.25">
      <c r="A11794" s="4">
        <v>11789</v>
      </c>
      <c r="B11794" s="3" t="str">
        <f>"00696261"</f>
        <v>00696261</v>
      </c>
    </row>
    <row r="11795" spans="1:2" x14ac:dyDescent="0.25">
      <c r="A11795" s="4">
        <v>11790</v>
      </c>
      <c r="B11795" s="3" t="str">
        <f>"00696263"</f>
        <v>00696263</v>
      </c>
    </row>
    <row r="11796" spans="1:2" x14ac:dyDescent="0.25">
      <c r="A11796" s="4">
        <v>11791</v>
      </c>
      <c r="B11796" s="3" t="str">
        <f>"00696265"</f>
        <v>00696265</v>
      </c>
    </row>
    <row r="11797" spans="1:2" x14ac:dyDescent="0.25">
      <c r="A11797" s="4">
        <v>11792</v>
      </c>
      <c r="B11797" s="3" t="str">
        <f>"00696266"</f>
        <v>00696266</v>
      </c>
    </row>
    <row r="11798" spans="1:2" x14ac:dyDescent="0.25">
      <c r="A11798" s="4">
        <v>11793</v>
      </c>
      <c r="B11798" s="3" t="str">
        <f>"00696267"</f>
        <v>00696267</v>
      </c>
    </row>
    <row r="11799" spans="1:2" x14ac:dyDescent="0.25">
      <c r="A11799" s="4">
        <v>11794</v>
      </c>
      <c r="B11799" s="3" t="str">
        <f>"00696268"</f>
        <v>00696268</v>
      </c>
    </row>
    <row r="11800" spans="1:2" x14ac:dyDescent="0.25">
      <c r="A11800" s="4">
        <v>11795</v>
      </c>
      <c r="B11800" s="3" t="str">
        <f>"00696269"</f>
        <v>00696269</v>
      </c>
    </row>
    <row r="11801" spans="1:2" x14ac:dyDescent="0.25">
      <c r="A11801" s="4">
        <v>11796</v>
      </c>
      <c r="B11801" s="3" t="str">
        <f>"00696282"</f>
        <v>00696282</v>
      </c>
    </row>
    <row r="11802" spans="1:2" x14ac:dyDescent="0.25">
      <c r="A11802" s="4">
        <v>11797</v>
      </c>
      <c r="B11802" s="3" t="str">
        <f>"00696294"</f>
        <v>00696294</v>
      </c>
    </row>
    <row r="11803" spans="1:2" x14ac:dyDescent="0.25">
      <c r="A11803" s="4">
        <v>11798</v>
      </c>
      <c r="B11803" s="3" t="str">
        <f>"00696300"</f>
        <v>00696300</v>
      </c>
    </row>
    <row r="11804" spans="1:2" x14ac:dyDescent="0.25">
      <c r="A11804" s="4">
        <v>11799</v>
      </c>
      <c r="B11804" s="3" t="str">
        <f>"00696303"</f>
        <v>00696303</v>
      </c>
    </row>
    <row r="11805" spans="1:2" x14ac:dyDescent="0.25">
      <c r="A11805" s="4">
        <v>11800</v>
      </c>
      <c r="B11805" s="3" t="str">
        <f>"00696306"</f>
        <v>00696306</v>
      </c>
    </row>
    <row r="11806" spans="1:2" x14ac:dyDescent="0.25">
      <c r="A11806" s="4">
        <v>11801</v>
      </c>
      <c r="B11806" s="3" t="str">
        <f>"00696307"</f>
        <v>00696307</v>
      </c>
    </row>
    <row r="11807" spans="1:2" x14ac:dyDescent="0.25">
      <c r="A11807" s="4">
        <v>11802</v>
      </c>
      <c r="B11807" s="3" t="str">
        <f>"00696313"</f>
        <v>00696313</v>
      </c>
    </row>
    <row r="11808" spans="1:2" x14ac:dyDescent="0.25">
      <c r="A11808" s="4">
        <v>11803</v>
      </c>
      <c r="B11808" s="3" t="str">
        <f>"00696321"</f>
        <v>00696321</v>
      </c>
    </row>
    <row r="11809" spans="1:2" x14ac:dyDescent="0.25">
      <c r="A11809" s="4">
        <v>11804</v>
      </c>
      <c r="B11809" s="3" t="str">
        <f>"00696325"</f>
        <v>00696325</v>
      </c>
    </row>
    <row r="11810" spans="1:2" x14ac:dyDescent="0.25">
      <c r="A11810" s="4">
        <v>11805</v>
      </c>
      <c r="B11810" s="3" t="str">
        <f>"00696339"</f>
        <v>00696339</v>
      </c>
    </row>
    <row r="11811" spans="1:2" x14ac:dyDescent="0.25">
      <c r="A11811" s="4">
        <v>11806</v>
      </c>
      <c r="B11811" s="3" t="str">
        <f>"00696340"</f>
        <v>00696340</v>
      </c>
    </row>
    <row r="11812" spans="1:2" x14ac:dyDescent="0.25">
      <c r="A11812" s="4">
        <v>11807</v>
      </c>
      <c r="B11812" s="3" t="str">
        <f>"00696347"</f>
        <v>00696347</v>
      </c>
    </row>
    <row r="11813" spans="1:2" x14ac:dyDescent="0.25">
      <c r="A11813" s="4">
        <v>11808</v>
      </c>
      <c r="B11813" s="3" t="str">
        <f>"00696355"</f>
        <v>00696355</v>
      </c>
    </row>
    <row r="11814" spans="1:2" x14ac:dyDescent="0.25">
      <c r="A11814" s="4">
        <v>11809</v>
      </c>
      <c r="B11814" s="3" t="str">
        <f>"00696356"</f>
        <v>00696356</v>
      </c>
    </row>
    <row r="11815" spans="1:2" x14ac:dyDescent="0.25">
      <c r="A11815" s="4">
        <v>11810</v>
      </c>
      <c r="B11815" s="3" t="str">
        <f>"00696357"</f>
        <v>00696357</v>
      </c>
    </row>
    <row r="11816" spans="1:2" x14ac:dyDescent="0.25">
      <c r="A11816" s="4">
        <v>11811</v>
      </c>
      <c r="B11816" s="3" t="str">
        <f>"00696364"</f>
        <v>00696364</v>
      </c>
    </row>
    <row r="11817" spans="1:2" x14ac:dyDescent="0.25">
      <c r="A11817" s="4">
        <v>11812</v>
      </c>
      <c r="B11817" s="3" t="str">
        <f>"00696380"</f>
        <v>00696380</v>
      </c>
    </row>
    <row r="11818" spans="1:2" x14ac:dyDescent="0.25">
      <c r="A11818" s="4">
        <v>11813</v>
      </c>
      <c r="B11818" s="3" t="str">
        <f>"00696389"</f>
        <v>00696389</v>
      </c>
    </row>
    <row r="11819" spans="1:2" x14ac:dyDescent="0.25">
      <c r="A11819" s="4">
        <v>11814</v>
      </c>
      <c r="B11819" s="3" t="str">
        <f>"00696393"</f>
        <v>00696393</v>
      </c>
    </row>
    <row r="11820" spans="1:2" x14ac:dyDescent="0.25">
      <c r="A11820" s="4">
        <v>11815</v>
      </c>
      <c r="B11820" s="3" t="str">
        <f>"00696394"</f>
        <v>00696394</v>
      </c>
    </row>
    <row r="11821" spans="1:2" x14ac:dyDescent="0.25">
      <c r="A11821" s="4">
        <v>11816</v>
      </c>
      <c r="B11821" s="3" t="str">
        <f>"00696397"</f>
        <v>00696397</v>
      </c>
    </row>
    <row r="11822" spans="1:2" x14ac:dyDescent="0.25">
      <c r="A11822" s="4">
        <v>11817</v>
      </c>
      <c r="B11822" s="3" t="str">
        <f>"00696404"</f>
        <v>00696404</v>
      </c>
    </row>
    <row r="11823" spans="1:2" x14ac:dyDescent="0.25">
      <c r="A11823" s="4">
        <v>11818</v>
      </c>
      <c r="B11823" s="3" t="str">
        <f>"00696405"</f>
        <v>00696405</v>
      </c>
    </row>
    <row r="11824" spans="1:2" x14ac:dyDescent="0.25">
      <c r="A11824" s="4">
        <v>11819</v>
      </c>
      <c r="B11824" s="3" t="str">
        <f>"00696407"</f>
        <v>00696407</v>
      </c>
    </row>
    <row r="11825" spans="1:2" x14ac:dyDescent="0.25">
      <c r="A11825" s="4">
        <v>11820</v>
      </c>
      <c r="B11825" s="3" t="str">
        <f>"00696411"</f>
        <v>00696411</v>
      </c>
    </row>
    <row r="11826" spans="1:2" x14ac:dyDescent="0.25">
      <c r="A11826" s="4">
        <v>11821</v>
      </c>
      <c r="B11826" s="3" t="str">
        <f>"00696417"</f>
        <v>00696417</v>
      </c>
    </row>
    <row r="11827" spans="1:2" x14ac:dyDescent="0.25">
      <c r="A11827" s="4">
        <v>11822</v>
      </c>
      <c r="B11827" s="3" t="str">
        <f>"00696418"</f>
        <v>00696418</v>
      </c>
    </row>
    <row r="11828" spans="1:2" x14ac:dyDescent="0.25">
      <c r="A11828" s="4">
        <v>11823</v>
      </c>
      <c r="B11828" s="3" t="str">
        <f>"00696419"</f>
        <v>00696419</v>
      </c>
    </row>
    <row r="11829" spans="1:2" x14ac:dyDescent="0.25">
      <c r="A11829" s="4">
        <v>11824</v>
      </c>
      <c r="B11829" s="3" t="str">
        <f>"00696421"</f>
        <v>00696421</v>
      </c>
    </row>
    <row r="11830" spans="1:2" x14ac:dyDescent="0.25">
      <c r="A11830" s="4">
        <v>11825</v>
      </c>
      <c r="B11830" s="3" t="str">
        <f>"00696425"</f>
        <v>00696425</v>
      </c>
    </row>
    <row r="11831" spans="1:2" x14ac:dyDescent="0.25">
      <c r="A11831" s="4">
        <v>11826</v>
      </c>
      <c r="B11831" s="3" t="str">
        <f>"00696427"</f>
        <v>00696427</v>
      </c>
    </row>
    <row r="11832" spans="1:2" x14ac:dyDescent="0.25">
      <c r="A11832" s="4">
        <v>11827</v>
      </c>
      <c r="B11832" s="3" t="str">
        <f>"00696439"</f>
        <v>00696439</v>
      </c>
    </row>
    <row r="11833" spans="1:2" x14ac:dyDescent="0.25">
      <c r="A11833" s="4">
        <v>11828</v>
      </c>
      <c r="B11833" s="3" t="str">
        <f>"00696441"</f>
        <v>00696441</v>
      </c>
    </row>
    <row r="11834" spans="1:2" x14ac:dyDescent="0.25">
      <c r="A11834" s="4">
        <v>11829</v>
      </c>
      <c r="B11834" s="3" t="str">
        <f>"00696444"</f>
        <v>00696444</v>
      </c>
    </row>
    <row r="11835" spans="1:2" x14ac:dyDescent="0.25">
      <c r="A11835" s="4">
        <v>11830</v>
      </c>
      <c r="B11835" s="3" t="str">
        <f>"00696445"</f>
        <v>00696445</v>
      </c>
    </row>
    <row r="11836" spans="1:2" x14ac:dyDescent="0.25">
      <c r="A11836" s="4">
        <v>11831</v>
      </c>
      <c r="B11836" s="3" t="str">
        <f>"00696447"</f>
        <v>00696447</v>
      </c>
    </row>
    <row r="11837" spans="1:2" x14ac:dyDescent="0.25">
      <c r="A11837" s="4">
        <v>11832</v>
      </c>
      <c r="B11837" s="3" t="str">
        <f>"00696448"</f>
        <v>00696448</v>
      </c>
    </row>
    <row r="11838" spans="1:2" x14ac:dyDescent="0.25">
      <c r="A11838" s="4">
        <v>11833</v>
      </c>
      <c r="B11838" s="3" t="str">
        <f>"00696457"</f>
        <v>00696457</v>
      </c>
    </row>
    <row r="11839" spans="1:2" x14ac:dyDescent="0.25">
      <c r="A11839" s="4">
        <v>11834</v>
      </c>
      <c r="B11839" s="3" t="str">
        <f>"00696462"</f>
        <v>00696462</v>
      </c>
    </row>
    <row r="11840" spans="1:2" x14ac:dyDescent="0.25">
      <c r="A11840" s="4">
        <v>11835</v>
      </c>
      <c r="B11840" s="3" t="str">
        <f>"00696466"</f>
        <v>00696466</v>
      </c>
    </row>
    <row r="11841" spans="1:2" x14ac:dyDescent="0.25">
      <c r="A11841" s="4">
        <v>11836</v>
      </c>
      <c r="B11841" s="3" t="str">
        <f>"00696470"</f>
        <v>00696470</v>
      </c>
    </row>
    <row r="11842" spans="1:2" x14ac:dyDescent="0.25">
      <c r="A11842" s="4">
        <v>11837</v>
      </c>
      <c r="B11842" s="3" t="str">
        <f>"00696472"</f>
        <v>00696472</v>
      </c>
    </row>
    <row r="11843" spans="1:2" x14ac:dyDescent="0.25">
      <c r="A11843" s="4">
        <v>11838</v>
      </c>
      <c r="B11843" s="3" t="str">
        <f>"00696477"</f>
        <v>00696477</v>
      </c>
    </row>
    <row r="11844" spans="1:2" x14ac:dyDescent="0.25">
      <c r="A11844" s="4">
        <v>11839</v>
      </c>
      <c r="B11844" s="3" t="str">
        <f>"00696478"</f>
        <v>00696478</v>
      </c>
    </row>
    <row r="11845" spans="1:2" x14ac:dyDescent="0.25">
      <c r="A11845" s="4">
        <v>11840</v>
      </c>
      <c r="B11845" s="3" t="str">
        <f>"00696479"</f>
        <v>00696479</v>
      </c>
    </row>
    <row r="11846" spans="1:2" x14ac:dyDescent="0.25">
      <c r="A11846" s="4">
        <v>11841</v>
      </c>
      <c r="B11846" s="3" t="str">
        <f>"00696484"</f>
        <v>00696484</v>
      </c>
    </row>
    <row r="11847" spans="1:2" x14ac:dyDescent="0.25">
      <c r="A11847" s="4">
        <v>11842</v>
      </c>
      <c r="B11847" s="3" t="str">
        <f>"00696497"</f>
        <v>00696497</v>
      </c>
    </row>
    <row r="11848" spans="1:2" x14ac:dyDescent="0.25">
      <c r="A11848" s="4">
        <v>11843</v>
      </c>
      <c r="B11848" s="3" t="str">
        <f>"00696499"</f>
        <v>00696499</v>
      </c>
    </row>
    <row r="11849" spans="1:2" x14ac:dyDescent="0.25">
      <c r="A11849" s="4">
        <v>11844</v>
      </c>
      <c r="B11849" s="3" t="str">
        <f>"00696502"</f>
        <v>00696502</v>
      </c>
    </row>
    <row r="11850" spans="1:2" x14ac:dyDescent="0.25">
      <c r="A11850" s="4">
        <v>11845</v>
      </c>
      <c r="B11850" s="3" t="str">
        <f>"00696514"</f>
        <v>00696514</v>
      </c>
    </row>
    <row r="11851" spans="1:2" x14ac:dyDescent="0.25">
      <c r="A11851" s="4">
        <v>11846</v>
      </c>
      <c r="B11851" s="3" t="str">
        <f>"00696517"</f>
        <v>00696517</v>
      </c>
    </row>
    <row r="11852" spans="1:2" x14ac:dyDescent="0.25">
      <c r="A11852" s="4">
        <v>11847</v>
      </c>
      <c r="B11852" s="3" t="str">
        <f>"00696520"</f>
        <v>00696520</v>
      </c>
    </row>
    <row r="11853" spans="1:2" x14ac:dyDescent="0.25">
      <c r="A11853" s="4">
        <v>11848</v>
      </c>
      <c r="B11853" s="3" t="str">
        <f>"00696524"</f>
        <v>00696524</v>
      </c>
    </row>
    <row r="11854" spans="1:2" x14ac:dyDescent="0.25">
      <c r="A11854" s="4">
        <v>11849</v>
      </c>
      <c r="B11854" s="3" t="str">
        <f>"00696525"</f>
        <v>00696525</v>
      </c>
    </row>
    <row r="11855" spans="1:2" x14ac:dyDescent="0.25">
      <c r="A11855" s="4">
        <v>11850</v>
      </c>
      <c r="B11855" s="3" t="str">
        <f>"00696529"</f>
        <v>00696529</v>
      </c>
    </row>
    <row r="11856" spans="1:2" x14ac:dyDescent="0.25">
      <c r="A11856" s="4">
        <v>11851</v>
      </c>
      <c r="B11856" s="3" t="str">
        <f>"00696534"</f>
        <v>00696534</v>
      </c>
    </row>
    <row r="11857" spans="1:2" x14ac:dyDescent="0.25">
      <c r="A11857" s="4">
        <v>11852</v>
      </c>
      <c r="B11857" s="3" t="str">
        <f>"00696565"</f>
        <v>00696565</v>
      </c>
    </row>
    <row r="11858" spans="1:2" x14ac:dyDescent="0.25">
      <c r="A11858" s="4">
        <v>11853</v>
      </c>
      <c r="B11858" s="3" t="str">
        <f>"00696576"</f>
        <v>00696576</v>
      </c>
    </row>
    <row r="11859" spans="1:2" x14ac:dyDescent="0.25">
      <c r="A11859" s="4">
        <v>11854</v>
      </c>
      <c r="B11859" s="3" t="str">
        <f>"00696589"</f>
        <v>00696589</v>
      </c>
    </row>
    <row r="11860" spans="1:2" x14ac:dyDescent="0.25">
      <c r="A11860" s="4">
        <v>11855</v>
      </c>
      <c r="B11860" s="3" t="str">
        <f>"00696597"</f>
        <v>00696597</v>
      </c>
    </row>
    <row r="11861" spans="1:2" x14ac:dyDescent="0.25">
      <c r="A11861" s="4">
        <v>11856</v>
      </c>
      <c r="B11861" s="3" t="str">
        <f>"00696601"</f>
        <v>00696601</v>
      </c>
    </row>
    <row r="11862" spans="1:2" x14ac:dyDescent="0.25">
      <c r="A11862" s="4">
        <v>11857</v>
      </c>
      <c r="B11862" s="3" t="str">
        <f>"00696602"</f>
        <v>00696602</v>
      </c>
    </row>
    <row r="11863" spans="1:2" x14ac:dyDescent="0.25">
      <c r="A11863" s="4">
        <v>11858</v>
      </c>
      <c r="B11863" s="3" t="str">
        <f>"00696606"</f>
        <v>00696606</v>
      </c>
    </row>
    <row r="11864" spans="1:2" x14ac:dyDescent="0.25">
      <c r="A11864" s="4">
        <v>11859</v>
      </c>
      <c r="B11864" s="3" t="str">
        <f>"00696608"</f>
        <v>00696608</v>
      </c>
    </row>
    <row r="11865" spans="1:2" x14ac:dyDescent="0.25">
      <c r="A11865" s="4">
        <v>11860</v>
      </c>
      <c r="B11865" s="3" t="str">
        <f>"00696611"</f>
        <v>00696611</v>
      </c>
    </row>
    <row r="11866" spans="1:2" x14ac:dyDescent="0.25">
      <c r="A11866" s="4">
        <v>11861</v>
      </c>
      <c r="B11866" s="3" t="str">
        <f>"00696616"</f>
        <v>00696616</v>
      </c>
    </row>
    <row r="11867" spans="1:2" x14ac:dyDescent="0.25">
      <c r="A11867" s="4">
        <v>11862</v>
      </c>
      <c r="B11867" s="3" t="str">
        <f>"00696623"</f>
        <v>00696623</v>
      </c>
    </row>
    <row r="11868" spans="1:2" x14ac:dyDescent="0.25">
      <c r="A11868" s="4">
        <v>11863</v>
      </c>
      <c r="B11868" s="3" t="str">
        <f>"00696628"</f>
        <v>00696628</v>
      </c>
    </row>
    <row r="11869" spans="1:2" x14ac:dyDescent="0.25">
      <c r="A11869" s="4">
        <v>11864</v>
      </c>
      <c r="B11869" s="3" t="str">
        <f>"00696630"</f>
        <v>00696630</v>
      </c>
    </row>
    <row r="11870" spans="1:2" x14ac:dyDescent="0.25">
      <c r="A11870" s="4">
        <v>11865</v>
      </c>
      <c r="B11870" s="3" t="str">
        <f>"00696631"</f>
        <v>00696631</v>
      </c>
    </row>
    <row r="11871" spans="1:2" x14ac:dyDescent="0.25">
      <c r="A11871" s="4">
        <v>11866</v>
      </c>
      <c r="B11871" s="3" t="str">
        <f>"00696647"</f>
        <v>00696647</v>
      </c>
    </row>
    <row r="11872" spans="1:2" x14ac:dyDescent="0.25">
      <c r="A11872" s="4">
        <v>11867</v>
      </c>
      <c r="B11872" s="3" t="str">
        <f>"00696669"</f>
        <v>00696669</v>
      </c>
    </row>
    <row r="11873" spans="1:2" x14ac:dyDescent="0.25">
      <c r="A11873" s="4">
        <v>11868</v>
      </c>
      <c r="B11873" s="3" t="str">
        <f>"00696672"</f>
        <v>00696672</v>
      </c>
    </row>
    <row r="11874" spans="1:2" x14ac:dyDescent="0.25">
      <c r="A11874" s="4">
        <v>11869</v>
      </c>
      <c r="B11874" s="3" t="str">
        <f>"00696673"</f>
        <v>00696673</v>
      </c>
    </row>
    <row r="11875" spans="1:2" x14ac:dyDescent="0.25">
      <c r="A11875" s="4">
        <v>11870</v>
      </c>
      <c r="B11875" s="3" t="str">
        <f>"00696674"</f>
        <v>00696674</v>
      </c>
    </row>
    <row r="11876" spans="1:2" x14ac:dyDescent="0.25">
      <c r="A11876" s="4">
        <v>11871</v>
      </c>
      <c r="B11876" s="3" t="str">
        <f>"00696676"</f>
        <v>00696676</v>
      </c>
    </row>
    <row r="11877" spans="1:2" x14ac:dyDescent="0.25">
      <c r="A11877" s="4">
        <v>11872</v>
      </c>
      <c r="B11877" s="3" t="str">
        <f>"00696680"</f>
        <v>00696680</v>
      </c>
    </row>
    <row r="11878" spans="1:2" x14ac:dyDescent="0.25">
      <c r="A11878" s="4">
        <v>11873</v>
      </c>
      <c r="B11878" s="3" t="str">
        <f>"00696697"</f>
        <v>00696697</v>
      </c>
    </row>
    <row r="11879" spans="1:2" x14ac:dyDescent="0.25">
      <c r="A11879" s="4">
        <v>11874</v>
      </c>
      <c r="B11879" s="3" t="str">
        <f>"00696704"</f>
        <v>00696704</v>
      </c>
    </row>
    <row r="11880" spans="1:2" x14ac:dyDescent="0.25">
      <c r="A11880" s="4">
        <v>11875</v>
      </c>
      <c r="B11880" s="3" t="str">
        <f>"00696706"</f>
        <v>00696706</v>
      </c>
    </row>
    <row r="11881" spans="1:2" x14ac:dyDescent="0.25">
      <c r="A11881" s="4">
        <v>11876</v>
      </c>
      <c r="B11881" s="3" t="str">
        <f>"00696709"</f>
        <v>00696709</v>
      </c>
    </row>
    <row r="11882" spans="1:2" x14ac:dyDescent="0.25">
      <c r="A11882" s="4">
        <v>11877</v>
      </c>
      <c r="B11882" s="3" t="str">
        <f>"00696722"</f>
        <v>00696722</v>
      </c>
    </row>
    <row r="11883" spans="1:2" x14ac:dyDescent="0.25">
      <c r="A11883" s="4">
        <v>11878</v>
      </c>
      <c r="B11883" s="3" t="str">
        <f>"00696733"</f>
        <v>00696733</v>
      </c>
    </row>
    <row r="11884" spans="1:2" x14ac:dyDescent="0.25">
      <c r="A11884" s="4">
        <v>11879</v>
      </c>
      <c r="B11884" s="3" t="str">
        <f>"00696747"</f>
        <v>00696747</v>
      </c>
    </row>
    <row r="11885" spans="1:2" x14ac:dyDescent="0.25">
      <c r="A11885" s="4">
        <v>11880</v>
      </c>
      <c r="B11885" s="3" t="str">
        <f>"00696749"</f>
        <v>00696749</v>
      </c>
    </row>
    <row r="11886" spans="1:2" x14ac:dyDescent="0.25">
      <c r="A11886" s="4">
        <v>11881</v>
      </c>
      <c r="B11886" s="3" t="str">
        <f>"00696750"</f>
        <v>00696750</v>
      </c>
    </row>
    <row r="11887" spans="1:2" x14ac:dyDescent="0.25">
      <c r="A11887" s="4">
        <v>11882</v>
      </c>
      <c r="B11887" s="3" t="str">
        <f>"00696753"</f>
        <v>00696753</v>
      </c>
    </row>
    <row r="11888" spans="1:2" x14ac:dyDescent="0.25">
      <c r="A11888" s="4">
        <v>11883</v>
      </c>
      <c r="B11888" s="3" t="str">
        <f>"00696763"</f>
        <v>00696763</v>
      </c>
    </row>
    <row r="11889" spans="1:2" x14ac:dyDescent="0.25">
      <c r="A11889" s="4">
        <v>11884</v>
      </c>
      <c r="B11889" s="3" t="str">
        <f>"00696772"</f>
        <v>00696772</v>
      </c>
    </row>
    <row r="11890" spans="1:2" x14ac:dyDescent="0.25">
      <c r="A11890" s="4">
        <v>11885</v>
      </c>
      <c r="B11890" s="3" t="str">
        <f>"00696773"</f>
        <v>00696773</v>
      </c>
    </row>
    <row r="11891" spans="1:2" x14ac:dyDescent="0.25">
      <c r="A11891" s="4">
        <v>11886</v>
      </c>
      <c r="B11891" s="3" t="str">
        <f>"00696779"</f>
        <v>00696779</v>
      </c>
    </row>
    <row r="11892" spans="1:2" x14ac:dyDescent="0.25">
      <c r="A11892" s="4">
        <v>11887</v>
      </c>
      <c r="B11892" s="3" t="str">
        <f>"00696790"</f>
        <v>00696790</v>
      </c>
    </row>
    <row r="11893" spans="1:2" x14ac:dyDescent="0.25">
      <c r="A11893" s="4">
        <v>11888</v>
      </c>
      <c r="B11893" s="3" t="str">
        <f>"00696791"</f>
        <v>00696791</v>
      </c>
    </row>
    <row r="11894" spans="1:2" x14ac:dyDescent="0.25">
      <c r="A11894" s="4">
        <v>11889</v>
      </c>
      <c r="B11894" s="3" t="str">
        <f>"00696796"</f>
        <v>00696796</v>
      </c>
    </row>
    <row r="11895" spans="1:2" x14ac:dyDescent="0.25">
      <c r="A11895" s="4">
        <v>11890</v>
      </c>
      <c r="B11895" s="3" t="str">
        <f>"00696800"</f>
        <v>00696800</v>
      </c>
    </row>
    <row r="11896" spans="1:2" x14ac:dyDescent="0.25">
      <c r="A11896" s="4">
        <v>11891</v>
      </c>
      <c r="B11896" s="3" t="str">
        <f>"00696807"</f>
        <v>00696807</v>
      </c>
    </row>
    <row r="11897" spans="1:2" x14ac:dyDescent="0.25">
      <c r="A11897" s="4">
        <v>11892</v>
      </c>
      <c r="B11897" s="3" t="str">
        <f>"00696822"</f>
        <v>00696822</v>
      </c>
    </row>
    <row r="11898" spans="1:2" x14ac:dyDescent="0.25">
      <c r="A11898" s="4">
        <v>11893</v>
      </c>
      <c r="B11898" s="3" t="str">
        <f>"00696826"</f>
        <v>00696826</v>
      </c>
    </row>
    <row r="11899" spans="1:2" x14ac:dyDescent="0.25">
      <c r="A11899" s="4">
        <v>11894</v>
      </c>
      <c r="B11899" s="3" t="str">
        <f>"00696828"</f>
        <v>00696828</v>
      </c>
    </row>
    <row r="11900" spans="1:2" x14ac:dyDescent="0.25">
      <c r="A11900" s="4">
        <v>11895</v>
      </c>
      <c r="B11900" s="3" t="str">
        <f>"00696830"</f>
        <v>00696830</v>
      </c>
    </row>
    <row r="11901" spans="1:2" x14ac:dyDescent="0.25">
      <c r="A11901" s="4">
        <v>11896</v>
      </c>
      <c r="B11901" s="3" t="str">
        <f>"00696832"</f>
        <v>00696832</v>
      </c>
    </row>
    <row r="11902" spans="1:2" x14ac:dyDescent="0.25">
      <c r="A11902" s="4">
        <v>11897</v>
      </c>
      <c r="B11902" s="3" t="str">
        <f>"00696833"</f>
        <v>00696833</v>
      </c>
    </row>
    <row r="11903" spans="1:2" x14ac:dyDescent="0.25">
      <c r="A11903" s="4">
        <v>11898</v>
      </c>
      <c r="B11903" s="3" t="str">
        <f>"00696840"</f>
        <v>00696840</v>
      </c>
    </row>
    <row r="11904" spans="1:2" x14ac:dyDescent="0.25">
      <c r="A11904" s="4">
        <v>11899</v>
      </c>
      <c r="B11904" s="3" t="str">
        <f>"00696843"</f>
        <v>00696843</v>
      </c>
    </row>
    <row r="11905" spans="1:2" x14ac:dyDescent="0.25">
      <c r="A11905" s="4">
        <v>11900</v>
      </c>
      <c r="B11905" s="3" t="str">
        <f>"00696849"</f>
        <v>00696849</v>
      </c>
    </row>
    <row r="11906" spans="1:2" x14ac:dyDescent="0.25">
      <c r="A11906" s="4">
        <v>11901</v>
      </c>
      <c r="B11906" s="3" t="str">
        <f>"00696854"</f>
        <v>00696854</v>
      </c>
    </row>
    <row r="11907" spans="1:2" x14ac:dyDescent="0.25">
      <c r="A11907" s="4">
        <v>11902</v>
      </c>
      <c r="B11907" s="3" t="str">
        <f>"00696856"</f>
        <v>00696856</v>
      </c>
    </row>
    <row r="11908" spans="1:2" x14ac:dyDescent="0.25">
      <c r="A11908" s="4">
        <v>11903</v>
      </c>
      <c r="B11908" s="3" t="str">
        <f>"00696857"</f>
        <v>00696857</v>
      </c>
    </row>
    <row r="11909" spans="1:2" x14ac:dyDescent="0.25">
      <c r="A11909" s="4">
        <v>11904</v>
      </c>
      <c r="B11909" s="3" t="str">
        <f>"00696860"</f>
        <v>00696860</v>
      </c>
    </row>
    <row r="11910" spans="1:2" x14ac:dyDescent="0.25">
      <c r="A11910" s="4">
        <v>11905</v>
      </c>
      <c r="B11910" s="3" t="str">
        <f>"00696862"</f>
        <v>00696862</v>
      </c>
    </row>
    <row r="11911" spans="1:2" x14ac:dyDescent="0.25">
      <c r="A11911" s="4">
        <v>11906</v>
      </c>
      <c r="B11911" s="3" t="str">
        <f>"00696863"</f>
        <v>00696863</v>
      </c>
    </row>
    <row r="11912" spans="1:2" x14ac:dyDescent="0.25">
      <c r="A11912" s="4">
        <v>11907</v>
      </c>
      <c r="B11912" s="3" t="str">
        <f>"00696864"</f>
        <v>00696864</v>
      </c>
    </row>
    <row r="11913" spans="1:2" x14ac:dyDescent="0.25">
      <c r="A11913" s="4">
        <v>11908</v>
      </c>
      <c r="B11913" s="3" t="str">
        <f>"00696869"</f>
        <v>00696869</v>
      </c>
    </row>
    <row r="11914" spans="1:2" x14ac:dyDescent="0.25">
      <c r="A11914" s="4">
        <v>11909</v>
      </c>
      <c r="B11914" s="3" t="str">
        <f>"00696872"</f>
        <v>00696872</v>
      </c>
    </row>
    <row r="11915" spans="1:2" x14ac:dyDescent="0.25">
      <c r="A11915" s="4">
        <v>11910</v>
      </c>
      <c r="B11915" s="3" t="str">
        <f>"00696876"</f>
        <v>00696876</v>
      </c>
    </row>
    <row r="11916" spans="1:2" x14ac:dyDescent="0.25">
      <c r="A11916" s="4">
        <v>11911</v>
      </c>
      <c r="B11916" s="3" t="str">
        <f>"00696877"</f>
        <v>00696877</v>
      </c>
    </row>
    <row r="11917" spans="1:2" x14ac:dyDescent="0.25">
      <c r="A11917" s="4">
        <v>11912</v>
      </c>
      <c r="B11917" s="3" t="str">
        <f>"00696878"</f>
        <v>00696878</v>
      </c>
    </row>
    <row r="11918" spans="1:2" x14ac:dyDescent="0.25">
      <c r="A11918" s="4">
        <v>11913</v>
      </c>
      <c r="B11918" s="3" t="str">
        <f>"00696880"</f>
        <v>00696880</v>
      </c>
    </row>
    <row r="11919" spans="1:2" x14ac:dyDescent="0.25">
      <c r="A11919" s="4">
        <v>11914</v>
      </c>
      <c r="B11919" s="3" t="str">
        <f>"00696885"</f>
        <v>00696885</v>
      </c>
    </row>
    <row r="11920" spans="1:2" x14ac:dyDescent="0.25">
      <c r="A11920" s="4">
        <v>11915</v>
      </c>
      <c r="B11920" s="3" t="str">
        <f>"00696890"</f>
        <v>00696890</v>
      </c>
    </row>
    <row r="11921" spans="1:2" x14ac:dyDescent="0.25">
      <c r="A11921" s="4">
        <v>11916</v>
      </c>
      <c r="B11921" s="3" t="str">
        <f>"00696891"</f>
        <v>00696891</v>
      </c>
    </row>
    <row r="11922" spans="1:2" x14ac:dyDescent="0.25">
      <c r="A11922" s="4">
        <v>11917</v>
      </c>
      <c r="B11922" s="3" t="str">
        <f>"00696894"</f>
        <v>00696894</v>
      </c>
    </row>
    <row r="11923" spans="1:2" x14ac:dyDescent="0.25">
      <c r="A11923" s="4">
        <v>11918</v>
      </c>
      <c r="B11923" s="3" t="str">
        <f>"00696905"</f>
        <v>00696905</v>
      </c>
    </row>
    <row r="11924" spans="1:2" x14ac:dyDescent="0.25">
      <c r="A11924" s="4">
        <v>11919</v>
      </c>
      <c r="B11924" s="3" t="str">
        <f>"00696907"</f>
        <v>00696907</v>
      </c>
    </row>
    <row r="11925" spans="1:2" x14ac:dyDescent="0.25">
      <c r="A11925" s="4">
        <v>11920</v>
      </c>
      <c r="B11925" s="3" t="str">
        <f>"00696915"</f>
        <v>00696915</v>
      </c>
    </row>
    <row r="11926" spans="1:2" x14ac:dyDescent="0.25">
      <c r="A11926" s="4">
        <v>11921</v>
      </c>
      <c r="B11926" s="3" t="str">
        <f>"00696921"</f>
        <v>00696921</v>
      </c>
    </row>
    <row r="11927" spans="1:2" x14ac:dyDescent="0.25">
      <c r="A11927" s="4">
        <v>11922</v>
      </c>
      <c r="B11927" s="3" t="str">
        <f>"00696922"</f>
        <v>00696922</v>
      </c>
    </row>
    <row r="11928" spans="1:2" x14ac:dyDescent="0.25">
      <c r="A11928" s="4">
        <v>11923</v>
      </c>
      <c r="B11928" s="3" t="str">
        <f>"00696926"</f>
        <v>00696926</v>
      </c>
    </row>
    <row r="11929" spans="1:2" x14ac:dyDescent="0.25">
      <c r="A11929" s="4">
        <v>11924</v>
      </c>
      <c r="B11929" s="3" t="str">
        <f>"00696928"</f>
        <v>00696928</v>
      </c>
    </row>
    <row r="11930" spans="1:2" x14ac:dyDescent="0.25">
      <c r="A11930" s="4">
        <v>11925</v>
      </c>
      <c r="B11930" s="3" t="str">
        <f>"00696933"</f>
        <v>00696933</v>
      </c>
    </row>
    <row r="11931" spans="1:2" x14ac:dyDescent="0.25">
      <c r="A11931" s="4">
        <v>11926</v>
      </c>
      <c r="B11931" s="3" t="str">
        <f>"00696934"</f>
        <v>00696934</v>
      </c>
    </row>
    <row r="11932" spans="1:2" x14ac:dyDescent="0.25">
      <c r="A11932" s="4">
        <v>11927</v>
      </c>
      <c r="B11932" s="3" t="str">
        <f>"00696937"</f>
        <v>00696937</v>
      </c>
    </row>
    <row r="11933" spans="1:2" x14ac:dyDescent="0.25">
      <c r="A11933" s="4">
        <v>11928</v>
      </c>
      <c r="B11933" s="3" t="str">
        <f>"00696947"</f>
        <v>00696947</v>
      </c>
    </row>
    <row r="11934" spans="1:2" x14ac:dyDescent="0.25">
      <c r="A11934" s="4">
        <v>11929</v>
      </c>
      <c r="B11934" s="3" t="str">
        <f>"00696948"</f>
        <v>00696948</v>
      </c>
    </row>
    <row r="11935" spans="1:2" x14ac:dyDescent="0.25">
      <c r="A11935" s="4">
        <v>11930</v>
      </c>
      <c r="B11935" s="3" t="str">
        <f>"00696951"</f>
        <v>00696951</v>
      </c>
    </row>
    <row r="11936" spans="1:2" x14ac:dyDescent="0.25">
      <c r="A11936" s="4">
        <v>11931</v>
      </c>
      <c r="B11936" s="3" t="str">
        <f>"00696960"</f>
        <v>00696960</v>
      </c>
    </row>
    <row r="11937" spans="1:2" x14ac:dyDescent="0.25">
      <c r="A11937" s="4">
        <v>11932</v>
      </c>
      <c r="B11937" s="3" t="str">
        <f>"00696969"</f>
        <v>00696969</v>
      </c>
    </row>
    <row r="11938" spans="1:2" x14ac:dyDescent="0.25">
      <c r="A11938" s="4">
        <v>11933</v>
      </c>
      <c r="B11938" s="3" t="str">
        <f>"00696974"</f>
        <v>00696974</v>
      </c>
    </row>
    <row r="11939" spans="1:2" x14ac:dyDescent="0.25">
      <c r="A11939" s="4">
        <v>11934</v>
      </c>
      <c r="B11939" s="3" t="str">
        <f>"00696978"</f>
        <v>00696978</v>
      </c>
    </row>
    <row r="11940" spans="1:2" x14ac:dyDescent="0.25">
      <c r="A11940" s="4">
        <v>11935</v>
      </c>
      <c r="B11940" s="3" t="str">
        <f>"00696986"</f>
        <v>00696986</v>
      </c>
    </row>
    <row r="11941" spans="1:2" x14ac:dyDescent="0.25">
      <c r="A11941" s="4">
        <v>11936</v>
      </c>
      <c r="B11941" s="3" t="str">
        <f>"00696993"</f>
        <v>00696993</v>
      </c>
    </row>
    <row r="11942" spans="1:2" x14ac:dyDescent="0.25">
      <c r="A11942" s="4">
        <v>11937</v>
      </c>
      <c r="B11942" s="3" t="str">
        <f>"00697000"</f>
        <v>00697000</v>
      </c>
    </row>
    <row r="11943" spans="1:2" x14ac:dyDescent="0.25">
      <c r="A11943" s="4">
        <v>11938</v>
      </c>
      <c r="B11943" s="3" t="str">
        <f>"00697002"</f>
        <v>00697002</v>
      </c>
    </row>
    <row r="11944" spans="1:2" x14ac:dyDescent="0.25">
      <c r="A11944" s="4">
        <v>11939</v>
      </c>
      <c r="B11944" s="3" t="str">
        <f>"00697006"</f>
        <v>00697006</v>
      </c>
    </row>
    <row r="11945" spans="1:2" x14ac:dyDescent="0.25">
      <c r="A11945" s="4">
        <v>11940</v>
      </c>
      <c r="B11945" s="3" t="str">
        <f>"00697012"</f>
        <v>00697012</v>
      </c>
    </row>
    <row r="11946" spans="1:2" x14ac:dyDescent="0.25">
      <c r="A11946" s="4">
        <v>11941</v>
      </c>
      <c r="B11946" s="3" t="str">
        <f>"00697033"</f>
        <v>00697033</v>
      </c>
    </row>
    <row r="11947" spans="1:2" x14ac:dyDescent="0.25">
      <c r="A11947" s="4">
        <v>11942</v>
      </c>
      <c r="B11947" s="3" t="str">
        <f>"00697041"</f>
        <v>00697041</v>
      </c>
    </row>
    <row r="11948" spans="1:2" x14ac:dyDescent="0.25">
      <c r="A11948" s="4">
        <v>11943</v>
      </c>
      <c r="B11948" s="3" t="str">
        <f>"00697053"</f>
        <v>00697053</v>
      </c>
    </row>
    <row r="11949" spans="1:2" x14ac:dyDescent="0.25">
      <c r="A11949" s="4">
        <v>11944</v>
      </c>
      <c r="B11949" s="3" t="str">
        <f>"00697065"</f>
        <v>00697065</v>
      </c>
    </row>
    <row r="11950" spans="1:2" x14ac:dyDescent="0.25">
      <c r="A11950" s="4">
        <v>11945</v>
      </c>
      <c r="B11950" s="3" t="str">
        <f>"00697067"</f>
        <v>00697067</v>
      </c>
    </row>
    <row r="11951" spans="1:2" x14ac:dyDescent="0.25">
      <c r="A11951" s="4">
        <v>11946</v>
      </c>
      <c r="B11951" s="3" t="str">
        <f>"00697071"</f>
        <v>00697071</v>
      </c>
    </row>
    <row r="11952" spans="1:2" x14ac:dyDescent="0.25">
      <c r="A11952" s="4">
        <v>11947</v>
      </c>
      <c r="B11952" s="3" t="str">
        <f>"00697078"</f>
        <v>00697078</v>
      </c>
    </row>
    <row r="11953" spans="1:2" x14ac:dyDescent="0.25">
      <c r="A11953" s="4">
        <v>11948</v>
      </c>
      <c r="B11953" s="3" t="str">
        <f>"00697079"</f>
        <v>00697079</v>
      </c>
    </row>
    <row r="11954" spans="1:2" x14ac:dyDescent="0.25">
      <c r="A11954" s="4">
        <v>11949</v>
      </c>
      <c r="B11954" s="3" t="str">
        <f>"00697083"</f>
        <v>00697083</v>
      </c>
    </row>
    <row r="11955" spans="1:2" x14ac:dyDescent="0.25">
      <c r="A11955" s="4">
        <v>11950</v>
      </c>
      <c r="B11955" s="3" t="str">
        <f>"00697084"</f>
        <v>00697084</v>
      </c>
    </row>
    <row r="11956" spans="1:2" x14ac:dyDescent="0.25">
      <c r="A11956" s="4">
        <v>11951</v>
      </c>
      <c r="B11956" s="3" t="str">
        <f>"00697088"</f>
        <v>00697088</v>
      </c>
    </row>
    <row r="11957" spans="1:2" x14ac:dyDescent="0.25">
      <c r="A11957" s="4">
        <v>11952</v>
      </c>
      <c r="B11957" s="3" t="str">
        <f>"00697092"</f>
        <v>00697092</v>
      </c>
    </row>
    <row r="11958" spans="1:2" x14ac:dyDescent="0.25">
      <c r="A11958" s="4">
        <v>11953</v>
      </c>
      <c r="B11958" s="3" t="str">
        <f>"00697105"</f>
        <v>00697105</v>
      </c>
    </row>
    <row r="11959" spans="1:2" x14ac:dyDescent="0.25">
      <c r="A11959" s="4">
        <v>11954</v>
      </c>
      <c r="B11959" s="3" t="str">
        <f>"00697114"</f>
        <v>00697114</v>
      </c>
    </row>
    <row r="11960" spans="1:2" x14ac:dyDescent="0.25">
      <c r="A11960" s="4">
        <v>11955</v>
      </c>
      <c r="B11960" s="3" t="str">
        <f>"00697122"</f>
        <v>00697122</v>
      </c>
    </row>
    <row r="11961" spans="1:2" x14ac:dyDescent="0.25">
      <c r="A11961" s="4">
        <v>11956</v>
      </c>
      <c r="B11961" s="3" t="str">
        <f>"00697131"</f>
        <v>00697131</v>
      </c>
    </row>
    <row r="11962" spans="1:2" x14ac:dyDescent="0.25">
      <c r="A11962" s="4">
        <v>11957</v>
      </c>
      <c r="B11962" s="3" t="str">
        <f>"00697138"</f>
        <v>00697138</v>
      </c>
    </row>
    <row r="11963" spans="1:2" x14ac:dyDescent="0.25">
      <c r="A11963" s="4">
        <v>11958</v>
      </c>
      <c r="B11963" s="3" t="str">
        <f>"00697151"</f>
        <v>00697151</v>
      </c>
    </row>
    <row r="11964" spans="1:2" x14ac:dyDescent="0.25">
      <c r="A11964" s="4">
        <v>11959</v>
      </c>
      <c r="B11964" s="3" t="str">
        <f>"00697155"</f>
        <v>00697155</v>
      </c>
    </row>
    <row r="11965" spans="1:2" x14ac:dyDescent="0.25">
      <c r="A11965" s="4">
        <v>11960</v>
      </c>
      <c r="B11965" s="3" t="str">
        <f>"00697178"</f>
        <v>00697178</v>
      </c>
    </row>
    <row r="11966" spans="1:2" x14ac:dyDescent="0.25">
      <c r="A11966" s="4">
        <v>11961</v>
      </c>
      <c r="B11966" s="3" t="str">
        <f>"00697198"</f>
        <v>00697198</v>
      </c>
    </row>
    <row r="11967" spans="1:2" x14ac:dyDescent="0.25">
      <c r="A11967" s="4">
        <v>11962</v>
      </c>
      <c r="B11967" s="3" t="str">
        <f>"00697210"</f>
        <v>00697210</v>
      </c>
    </row>
    <row r="11968" spans="1:2" x14ac:dyDescent="0.25">
      <c r="A11968" s="4">
        <v>11963</v>
      </c>
      <c r="B11968" s="3" t="str">
        <f>"00697219"</f>
        <v>00697219</v>
      </c>
    </row>
    <row r="11969" spans="1:2" x14ac:dyDescent="0.25">
      <c r="A11969" s="4">
        <v>11964</v>
      </c>
      <c r="B11969" s="3" t="str">
        <f>"00697227"</f>
        <v>00697227</v>
      </c>
    </row>
    <row r="11970" spans="1:2" x14ac:dyDescent="0.25">
      <c r="A11970" s="4">
        <v>11965</v>
      </c>
      <c r="B11970" s="3" t="str">
        <f>"00697233"</f>
        <v>00697233</v>
      </c>
    </row>
    <row r="11971" spans="1:2" x14ac:dyDescent="0.25">
      <c r="A11971" s="4">
        <v>11966</v>
      </c>
      <c r="B11971" s="3" t="str">
        <f>"00697234"</f>
        <v>00697234</v>
      </c>
    </row>
    <row r="11972" spans="1:2" x14ac:dyDescent="0.25">
      <c r="A11972" s="4">
        <v>11967</v>
      </c>
      <c r="B11972" s="3" t="str">
        <f>"00697239"</f>
        <v>00697239</v>
      </c>
    </row>
    <row r="11973" spans="1:2" x14ac:dyDescent="0.25">
      <c r="A11973" s="4">
        <v>11968</v>
      </c>
      <c r="B11973" s="3" t="str">
        <f>"00697240"</f>
        <v>00697240</v>
      </c>
    </row>
    <row r="11974" spans="1:2" x14ac:dyDescent="0.25">
      <c r="A11974" s="4">
        <v>11969</v>
      </c>
      <c r="B11974" s="3" t="str">
        <f>"00697247"</f>
        <v>00697247</v>
      </c>
    </row>
    <row r="11975" spans="1:2" x14ac:dyDescent="0.25">
      <c r="A11975" s="4">
        <v>11970</v>
      </c>
      <c r="B11975" s="3" t="str">
        <f>"00697251"</f>
        <v>00697251</v>
      </c>
    </row>
    <row r="11976" spans="1:2" x14ac:dyDescent="0.25">
      <c r="A11976" s="4">
        <v>11971</v>
      </c>
      <c r="B11976" s="3" t="str">
        <f>"00697261"</f>
        <v>00697261</v>
      </c>
    </row>
    <row r="11977" spans="1:2" x14ac:dyDescent="0.25">
      <c r="A11977" s="4">
        <v>11972</v>
      </c>
      <c r="B11977" s="3" t="str">
        <f>"00697266"</f>
        <v>00697266</v>
      </c>
    </row>
    <row r="11978" spans="1:2" x14ac:dyDescent="0.25">
      <c r="A11978" s="4">
        <v>11973</v>
      </c>
      <c r="B11978" s="3" t="str">
        <f>"00697283"</f>
        <v>00697283</v>
      </c>
    </row>
    <row r="11979" spans="1:2" x14ac:dyDescent="0.25">
      <c r="A11979" s="4">
        <v>11974</v>
      </c>
      <c r="B11979" s="3" t="str">
        <f>"00697303"</f>
        <v>00697303</v>
      </c>
    </row>
    <row r="11980" spans="1:2" x14ac:dyDescent="0.25">
      <c r="A11980" s="4">
        <v>11975</v>
      </c>
      <c r="B11980" s="3" t="str">
        <f>"00697307"</f>
        <v>00697307</v>
      </c>
    </row>
    <row r="11981" spans="1:2" x14ac:dyDescent="0.25">
      <c r="A11981" s="4">
        <v>11976</v>
      </c>
      <c r="B11981" s="3" t="str">
        <f>"00697308"</f>
        <v>00697308</v>
      </c>
    </row>
    <row r="11982" spans="1:2" x14ac:dyDescent="0.25">
      <c r="A11982" s="4">
        <v>11977</v>
      </c>
      <c r="B11982" s="3" t="str">
        <f>"00697315"</f>
        <v>00697315</v>
      </c>
    </row>
    <row r="11983" spans="1:2" x14ac:dyDescent="0.25">
      <c r="A11983" s="4">
        <v>11978</v>
      </c>
      <c r="B11983" s="3" t="str">
        <f>"00697316"</f>
        <v>00697316</v>
      </c>
    </row>
    <row r="11984" spans="1:2" x14ac:dyDescent="0.25">
      <c r="A11984" s="4">
        <v>11979</v>
      </c>
      <c r="B11984" s="3" t="str">
        <f>"00697318"</f>
        <v>00697318</v>
      </c>
    </row>
    <row r="11985" spans="1:2" x14ac:dyDescent="0.25">
      <c r="A11985" s="4">
        <v>11980</v>
      </c>
      <c r="B11985" s="3" t="str">
        <f>"00697331"</f>
        <v>00697331</v>
      </c>
    </row>
    <row r="11986" spans="1:2" x14ac:dyDescent="0.25">
      <c r="A11986" s="4">
        <v>11981</v>
      </c>
      <c r="B11986" s="3" t="str">
        <f>"00697343"</f>
        <v>00697343</v>
      </c>
    </row>
    <row r="11987" spans="1:2" x14ac:dyDescent="0.25">
      <c r="A11987" s="4">
        <v>11982</v>
      </c>
      <c r="B11987" s="3" t="str">
        <f>"00697344"</f>
        <v>00697344</v>
      </c>
    </row>
    <row r="11988" spans="1:2" x14ac:dyDescent="0.25">
      <c r="A11988" s="4">
        <v>11983</v>
      </c>
      <c r="B11988" s="3" t="str">
        <f>"00697347"</f>
        <v>00697347</v>
      </c>
    </row>
    <row r="11989" spans="1:2" x14ac:dyDescent="0.25">
      <c r="A11989" s="4">
        <v>11984</v>
      </c>
      <c r="B11989" s="3" t="str">
        <f>"00697349"</f>
        <v>00697349</v>
      </c>
    </row>
    <row r="11990" spans="1:2" x14ac:dyDescent="0.25">
      <c r="A11990" s="4">
        <v>11985</v>
      </c>
      <c r="B11990" s="3" t="str">
        <f>"00697353"</f>
        <v>00697353</v>
      </c>
    </row>
    <row r="11991" spans="1:2" x14ac:dyDescent="0.25">
      <c r="A11991" s="4">
        <v>11986</v>
      </c>
      <c r="B11991" s="3" t="str">
        <f>"00697355"</f>
        <v>00697355</v>
      </c>
    </row>
    <row r="11992" spans="1:2" x14ac:dyDescent="0.25">
      <c r="A11992" s="4">
        <v>11987</v>
      </c>
      <c r="B11992" s="3" t="str">
        <f>"00697357"</f>
        <v>00697357</v>
      </c>
    </row>
    <row r="11993" spans="1:2" x14ac:dyDescent="0.25">
      <c r="A11993" s="4">
        <v>11988</v>
      </c>
      <c r="B11993" s="3" t="str">
        <f>"00697361"</f>
        <v>00697361</v>
      </c>
    </row>
    <row r="11994" spans="1:2" x14ac:dyDescent="0.25">
      <c r="A11994" s="4">
        <v>11989</v>
      </c>
      <c r="B11994" s="3" t="str">
        <f>"00697367"</f>
        <v>00697367</v>
      </c>
    </row>
    <row r="11995" spans="1:2" x14ac:dyDescent="0.25">
      <c r="A11995" s="4">
        <v>11990</v>
      </c>
      <c r="B11995" s="3" t="str">
        <f>"00697380"</f>
        <v>00697380</v>
      </c>
    </row>
    <row r="11996" spans="1:2" x14ac:dyDescent="0.25">
      <c r="A11996" s="4">
        <v>11991</v>
      </c>
      <c r="B11996" s="3" t="str">
        <f>"00697386"</f>
        <v>00697386</v>
      </c>
    </row>
    <row r="11997" spans="1:2" x14ac:dyDescent="0.25">
      <c r="A11997" s="4">
        <v>11992</v>
      </c>
      <c r="B11997" s="3" t="str">
        <f>"00697387"</f>
        <v>00697387</v>
      </c>
    </row>
    <row r="11998" spans="1:2" x14ac:dyDescent="0.25">
      <c r="A11998" s="4">
        <v>11993</v>
      </c>
      <c r="B11998" s="3" t="str">
        <f>"00697396"</f>
        <v>00697396</v>
      </c>
    </row>
    <row r="11999" spans="1:2" x14ac:dyDescent="0.25">
      <c r="A11999" s="4">
        <v>11994</v>
      </c>
      <c r="B11999" s="3" t="str">
        <f>"00697403"</f>
        <v>00697403</v>
      </c>
    </row>
    <row r="12000" spans="1:2" x14ac:dyDescent="0.25">
      <c r="A12000" s="4">
        <v>11995</v>
      </c>
      <c r="B12000" s="3" t="str">
        <f>"00697408"</f>
        <v>00697408</v>
      </c>
    </row>
    <row r="12001" spans="1:2" x14ac:dyDescent="0.25">
      <c r="A12001" s="4">
        <v>11996</v>
      </c>
      <c r="B12001" s="3" t="str">
        <f>"00697413"</f>
        <v>00697413</v>
      </c>
    </row>
    <row r="12002" spans="1:2" x14ac:dyDescent="0.25">
      <c r="A12002" s="4">
        <v>11997</v>
      </c>
      <c r="B12002" s="3" t="str">
        <f>"00697418"</f>
        <v>00697418</v>
      </c>
    </row>
    <row r="12003" spans="1:2" x14ac:dyDescent="0.25">
      <c r="A12003" s="4">
        <v>11998</v>
      </c>
      <c r="B12003" s="3" t="str">
        <f>"00697425"</f>
        <v>00697425</v>
      </c>
    </row>
    <row r="12004" spans="1:2" x14ac:dyDescent="0.25">
      <c r="A12004" s="4">
        <v>11999</v>
      </c>
      <c r="B12004" s="3" t="str">
        <f>"00697431"</f>
        <v>00697431</v>
      </c>
    </row>
    <row r="12005" spans="1:2" x14ac:dyDescent="0.25">
      <c r="A12005" s="4">
        <v>12000</v>
      </c>
      <c r="B12005" s="3" t="str">
        <f>"00697433"</f>
        <v>00697433</v>
      </c>
    </row>
    <row r="12006" spans="1:2" x14ac:dyDescent="0.25">
      <c r="A12006" s="4">
        <v>12001</v>
      </c>
      <c r="B12006" s="3" t="str">
        <f>"00697456"</f>
        <v>00697456</v>
      </c>
    </row>
    <row r="12007" spans="1:2" x14ac:dyDescent="0.25">
      <c r="A12007" s="4">
        <v>12002</v>
      </c>
      <c r="B12007" s="3" t="str">
        <f>"00697457"</f>
        <v>00697457</v>
      </c>
    </row>
    <row r="12008" spans="1:2" x14ac:dyDescent="0.25">
      <c r="A12008" s="4">
        <v>12003</v>
      </c>
      <c r="B12008" s="3" t="str">
        <f>"00697458"</f>
        <v>00697458</v>
      </c>
    </row>
    <row r="12009" spans="1:2" x14ac:dyDescent="0.25">
      <c r="A12009" s="4">
        <v>12004</v>
      </c>
      <c r="B12009" s="3" t="str">
        <f>"00697465"</f>
        <v>00697465</v>
      </c>
    </row>
    <row r="12010" spans="1:2" x14ac:dyDescent="0.25">
      <c r="A12010" s="4">
        <v>12005</v>
      </c>
      <c r="B12010" s="3" t="str">
        <f>"00697478"</f>
        <v>00697478</v>
      </c>
    </row>
    <row r="12011" spans="1:2" x14ac:dyDescent="0.25">
      <c r="A12011" s="4">
        <v>12006</v>
      </c>
      <c r="B12011" s="3" t="str">
        <f>"00697491"</f>
        <v>00697491</v>
      </c>
    </row>
    <row r="12012" spans="1:2" x14ac:dyDescent="0.25">
      <c r="A12012" s="4">
        <v>12007</v>
      </c>
      <c r="B12012" s="3" t="str">
        <f>"00697494"</f>
        <v>00697494</v>
      </c>
    </row>
    <row r="12013" spans="1:2" x14ac:dyDescent="0.25">
      <c r="A12013" s="4">
        <v>12008</v>
      </c>
      <c r="B12013" s="3" t="str">
        <f>"00697498"</f>
        <v>00697498</v>
      </c>
    </row>
    <row r="12014" spans="1:2" x14ac:dyDescent="0.25">
      <c r="A12014" s="4">
        <v>12009</v>
      </c>
      <c r="B12014" s="3" t="str">
        <f>"00697501"</f>
        <v>00697501</v>
      </c>
    </row>
    <row r="12015" spans="1:2" x14ac:dyDescent="0.25">
      <c r="A12015" s="4">
        <v>12010</v>
      </c>
      <c r="B12015" s="3" t="str">
        <f>"00697503"</f>
        <v>00697503</v>
      </c>
    </row>
    <row r="12016" spans="1:2" x14ac:dyDescent="0.25">
      <c r="A12016" s="4">
        <v>12011</v>
      </c>
      <c r="B12016" s="3" t="str">
        <f>"00697506"</f>
        <v>00697506</v>
      </c>
    </row>
    <row r="12017" spans="1:2" x14ac:dyDescent="0.25">
      <c r="A12017" s="4">
        <v>12012</v>
      </c>
      <c r="B12017" s="3" t="str">
        <f>"00697508"</f>
        <v>00697508</v>
      </c>
    </row>
    <row r="12018" spans="1:2" x14ac:dyDescent="0.25">
      <c r="A12018" s="4">
        <v>12013</v>
      </c>
      <c r="B12018" s="3" t="str">
        <f>"00697514"</f>
        <v>00697514</v>
      </c>
    </row>
    <row r="12019" spans="1:2" x14ac:dyDescent="0.25">
      <c r="A12019" s="4">
        <v>12014</v>
      </c>
      <c r="B12019" s="3" t="str">
        <f>"00697518"</f>
        <v>00697518</v>
      </c>
    </row>
    <row r="12020" spans="1:2" x14ac:dyDescent="0.25">
      <c r="A12020" s="4">
        <v>12015</v>
      </c>
      <c r="B12020" s="3" t="str">
        <f>"00697524"</f>
        <v>00697524</v>
      </c>
    </row>
    <row r="12021" spans="1:2" x14ac:dyDescent="0.25">
      <c r="A12021" s="4">
        <v>12016</v>
      </c>
      <c r="B12021" s="3" t="str">
        <f>"00697534"</f>
        <v>00697534</v>
      </c>
    </row>
    <row r="12022" spans="1:2" x14ac:dyDescent="0.25">
      <c r="A12022" s="4">
        <v>12017</v>
      </c>
      <c r="B12022" s="3" t="str">
        <f>"00697535"</f>
        <v>00697535</v>
      </c>
    </row>
    <row r="12023" spans="1:2" x14ac:dyDescent="0.25">
      <c r="A12023" s="4">
        <v>12018</v>
      </c>
      <c r="B12023" s="3" t="str">
        <f>"00697538"</f>
        <v>00697538</v>
      </c>
    </row>
    <row r="12024" spans="1:2" x14ac:dyDescent="0.25">
      <c r="A12024" s="4">
        <v>12019</v>
      </c>
      <c r="B12024" s="3" t="str">
        <f>"00697541"</f>
        <v>00697541</v>
      </c>
    </row>
    <row r="12025" spans="1:2" x14ac:dyDescent="0.25">
      <c r="A12025" s="4">
        <v>12020</v>
      </c>
      <c r="B12025" s="3" t="str">
        <f>"00697542"</f>
        <v>00697542</v>
      </c>
    </row>
    <row r="12026" spans="1:2" x14ac:dyDescent="0.25">
      <c r="A12026" s="4">
        <v>12021</v>
      </c>
      <c r="B12026" s="3" t="str">
        <f>"00697549"</f>
        <v>00697549</v>
      </c>
    </row>
    <row r="12027" spans="1:2" x14ac:dyDescent="0.25">
      <c r="A12027" s="4">
        <v>12022</v>
      </c>
      <c r="B12027" s="3" t="str">
        <f>"00697558"</f>
        <v>00697558</v>
      </c>
    </row>
    <row r="12028" spans="1:2" x14ac:dyDescent="0.25">
      <c r="A12028" s="4">
        <v>12023</v>
      </c>
      <c r="B12028" s="3" t="str">
        <f>"00697578"</f>
        <v>00697578</v>
      </c>
    </row>
    <row r="12029" spans="1:2" x14ac:dyDescent="0.25">
      <c r="A12029" s="4">
        <v>12024</v>
      </c>
      <c r="B12029" s="3" t="str">
        <f>"00697594"</f>
        <v>00697594</v>
      </c>
    </row>
    <row r="12030" spans="1:2" x14ac:dyDescent="0.25">
      <c r="A12030" s="4">
        <v>12025</v>
      </c>
      <c r="B12030" s="3" t="str">
        <f>"00697603"</f>
        <v>00697603</v>
      </c>
    </row>
    <row r="12031" spans="1:2" x14ac:dyDescent="0.25">
      <c r="A12031" s="4">
        <v>12026</v>
      </c>
      <c r="B12031" s="3" t="str">
        <f>"00697609"</f>
        <v>00697609</v>
      </c>
    </row>
    <row r="12032" spans="1:2" x14ac:dyDescent="0.25">
      <c r="A12032" s="4">
        <v>12027</v>
      </c>
      <c r="B12032" s="3" t="str">
        <f>"00697612"</f>
        <v>00697612</v>
      </c>
    </row>
    <row r="12033" spans="1:2" x14ac:dyDescent="0.25">
      <c r="A12033" s="4">
        <v>12028</v>
      </c>
      <c r="B12033" s="3" t="str">
        <f>"00697615"</f>
        <v>00697615</v>
      </c>
    </row>
    <row r="12034" spans="1:2" x14ac:dyDescent="0.25">
      <c r="A12034" s="4">
        <v>12029</v>
      </c>
      <c r="B12034" s="3" t="str">
        <f>"00697618"</f>
        <v>00697618</v>
      </c>
    </row>
    <row r="12035" spans="1:2" x14ac:dyDescent="0.25">
      <c r="A12035" s="4">
        <v>12030</v>
      </c>
      <c r="B12035" s="3" t="str">
        <f>"00697624"</f>
        <v>00697624</v>
      </c>
    </row>
    <row r="12036" spans="1:2" x14ac:dyDescent="0.25">
      <c r="A12036" s="4">
        <v>12031</v>
      </c>
      <c r="B12036" s="3" t="str">
        <f>"00697636"</f>
        <v>00697636</v>
      </c>
    </row>
    <row r="12037" spans="1:2" x14ac:dyDescent="0.25">
      <c r="A12037" s="4">
        <v>12032</v>
      </c>
      <c r="B12037" s="3" t="str">
        <f>"00697643"</f>
        <v>00697643</v>
      </c>
    </row>
    <row r="12038" spans="1:2" x14ac:dyDescent="0.25">
      <c r="A12038" s="4">
        <v>12033</v>
      </c>
      <c r="B12038" s="3" t="str">
        <f>"00697644"</f>
        <v>00697644</v>
      </c>
    </row>
    <row r="12039" spans="1:2" x14ac:dyDescent="0.25">
      <c r="A12039" s="4">
        <v>12034</v>
      </c>
      <c r="B12039" s="3" t="str">
        <f>"00697646"</f>
        <v>00697646</v>
      </c>
    </row>
    <row r="12040" spans="1:2" x14ac:dyDescent="0.25">
      <c r="A12040" s="4">
        <v>12035</v>
      </c>
      <c r="B12040" s="3" t="str">
        <f>"00697656"</f>
        <v>00697656</v>
      </c>
    </row>
    <row r="12041" spans="1:2" x14ac:dyDescent="0.25">
      <c r="A12041" s="4">
        <v>12036</v>
      </c>
      <c r="B12041" s="3" t="str">
        <f>"00697673"</f>
        <v>00697673</v>
      </c>
    </row>
    <row r="12042" spans="1:2" x14ac:dyDescent="0.25">
      <c r="A12042" s="4">
        <v>12037</v>
      </c>
      <c r="B12042" s="3" t="str">
        <f>"00697676"</f>
        <v>00697676</v>
      </c>
    </row>
    <row r="12043" spans="1:2" x14ac:dyDescent="0.25">
      <c r="A12043" s="4">
        <v>12038</v>
      </c>
      <c r="B12043" s="3" t="str">
        <f>"00697683"</f>
        <v>00697683</v>
      </c>
    </row>
    <row r="12044" spans="1:2" x14ac:dyDescent="0.25">
      <c r="A12044" s="4">
        <v>12039</v>
      </c>
      <c r="B12044" s="3" t="str">
        <f>"00697691"</f>
        <v>00697691</v>
      </c>
    </row>
    <row r="12045" spans="1:2" x14ac:dyDescent="0.25">
      <c r="A12045" s="4">
        <v>12040</v>
      </c>
      <c r="B12045" s="3" t="str">
        <f>"00697698"</f>
        <v>00697698</v>
      </c>
    </row>
    <row r="12046" spans="1:2" x14ac:dyDescent="0.25">
      <c r="A12046" s="4">
        <v>12041</v>
      </c>
      <c r="B12046" s="3" t="str">
        <f>"00697701"</f>
        <v>00697701</v>
      </c>
    </row>
    <row r="12047" spans="1:2" x14ac:dyDescent="0.25">
      <c r="A12047" s="4">
        <v>12042</v>
      </c>
      <c r="B12047" s="3" t="str">
        <f>"00697702"</f>
        <v>00697702</v>
      </c>
    </row>
    <row r="12048" spans="1:2" x14ac:dyDescent="0.25">
      <c r="A12048" s="4">
        <v>12043</v>
      </c>
      <c r="B12048" s="3" t="str">
        <f>"00697703"</f>
        <v>00697703</v>
      </c>
    </row>
    <row r="12049" spans="1:2" x14ac:dyDescent="0.25">
      <c r="A12049" s="4">
        <v>12044</v>
      </c>
      <c r="B12049" s="3" t="str">
        <f>"00697710"</f>
        <v>00697710</v>
      </c>
    </row>
    <row r="12050" spans="1:2" x14ac:dyDescent="0.25">
      <c r="A12050" s="4">
        <v>12045</v>
      </c>
      <c r="B12050" s="3" t="str">
        <f>"00697711"</f>
        <v>00697711</v>
      </c>
    </row>
    <row r="12051" spans="1:2" x14ac:dyDescent="0.25">
      <c r="A12051" s="4">
        <v>12046</v>
      </c>
      <c r="B12051" s="3" t="str">
        <f>"00697713"</f>
        <v>00697713</v>
      </c>
    </row>
    <row r="12052" spans="1:2" x14ac:dyDescent="0.25">
      <c r="A12052" s="4">
        <v>12047</v>
      </c>
      <c r="B12052" s="3" t="str">
        <f>"00697722"</f>
        <v>00697722</v>
      </c>
    </row>
    <row r="12053" spans="1:2" x14ac:dyDescent="0.25">
      <c r="A12053" s="4">
        <v>12048</v>
      </c>
      <c r="B12053" s="3" t="str">
        <f>"00697725"</f>
        <v>00697725</v>
      </c>
    </row>
    <row r="12054" spans="1:2" x14ac:dyDescent="0.25">
      <c r="A12054" s="4">
        <v>12049</v>
      </c>
      <c r="B12054" s="3" t="str">
        <f>"00697730"</f>
        <v>00697730</v>
      </c>
    </row>
    <row r="12055" spans="1:2" x14ac:dyDescent="0.25">
      <c r="A12055" s="4">
        <v>12050</v>
      </c>
      <c r="B12055" s="3" t="str">
        <f>"00697745"</f>
        <v>00697745</v>
      </c>
    </row>
    <row r="12056" spans="1:2" x14ac:dyDescent="0.25">
      <c r="A12056" s="4">
        <v>12051</v>
      </c>
      <c r="B12056" s="3" t="str">
        <f>"00697748"</f>
        <v>00697748</v>
      </c>
    </row>
    <row r="12057" spans="1:2" x14ac:dyDescent="0.25">
      <c r="A12057" s="4">
        <v>12052</v>
      </c>
      <c r="B12057" s="3" t="str">
        <f>"00697750"</f>
        <v>00697750</v>
      </c>
    </row>
    <row r="12058" spans="1:2" x14ac:dyDescent="0.25">
      <c r="A12058" s="4">
        <v>12053</v>
      </c>
      <c r="B12058" s="3" t="str">
        <f>"00697752"</f>
        <v>00697752</v>
      </c>
    </row>
    <row r="12059" spans="1:2" x14ac:dyDescent="0.25">
      <c r="A12059" s="4">
        <v>12054</v>
      </c>
      <c r="B12059" s="3" t="str">
        <f>"00697755"</f>
        <v>00697755</v>
      </c>
    </row>
    <row r="12060" spans="1:2" x14ac:dyDescent="0.25">
      <c r="A12060" s="4">
        <v>12055</v>
      </c>
      <c r="B12060" s="3" t="str">
        <f>"00697779"</f>
        <v>00697779</v>
      </c>
    </row>
    <row r="12061" spans="1:2" x14ac:dyDescent="0.25">
      <c r="A12061" s="4">
        <v>12056</v>
      </c>
      <c r="B12061" s="3" t="str">
        <f>"00697780"</f>
        <v>00697780</v>
      </c>
    </row>
    <row r="12062" spans="1:2" x14ac:dyDescent="0.25">
      <c r="A12062" s="4">
        <v>12057</v>
      </c>
      <c r="B12062" s="3" t="str">
        <f>"00697783"</f>
        <v>00697783</v>
      </c>
    </row>
    <row r="12063" spans="1:2" x14ac:dyDescent="0.25">
      <c r="A12063" s="4">
        <v>12058</v>
      </c>
      <c r="B12063" s="3" t="str">
        <f>"00697784"</f>
        <v>00697784</v>
      </c>
    </row>
    <row r="12064" spans="1:2" x14ac:dyDescent="0.25">
      <c r="A12064" s="4">
        <v>12059</v>
      </c>
      <c r="B12064" s="3" t="str">
        <f>"00697788"</f>
        <v>00697788</v>
      </c>
    </row>
    <row r="12065" spans="1:2" x14ac:dyDescent="0.25">
      <c r="A12065" s="4">
        <v>12060</v>
      </c>
      <c r="B12065" s="3" t="str">
        <f>"00697808"</f>
        <v>00697808</v>
      </c>
    </row>
    <row r="12066" spans="1:2" x14ac:dyDescent="0.25">
      <c r="A12066" s="4">
        <v>12061</v>
      </c>
      <c r="B12066" s="3" t="str">
        <f>"00697809"</f>
        <v>00697809</v>
      </c>
    </row>
    <row r="12067" spans="1:2" x14ac:dyDescent="0.25">
      <c r="A12067" s="4">
        <v>12062</v>
      </c>
      <c r="B12067" s="3" t="str">
        <f>"00697811"</f>
        <v>00697811</v>
      </c>
    </row>
    <row r="12068" spans="1:2" x14ac:dyDescent="0.25">
      <c r="A12068" s="4">
        <v>12063</v>
      </c>
      <c r="B12068" s="3" t="str">
        <f>"00697812"</f>
        <v>00697812</v>
      </c>
    </row>
    <row r="12069" spans="1:2" x14ac:dyDescent="0.25">
      <c r="A12069" s="4">
        <v>12064</v>
      </c>
      <c r="B12069" s="3" t="str">
        <f>"00697818"</f>
        <v>00697818</v>
      </c>
    </row>
    <row r="12070" spans="1:2" x14ac:dyDescent="0.25">
      <c r="A12070" s="4">
        <v>12065</v>
      </c>
      <c r="B12070" s="3" t="str">
        <f>"00697821"</f>
        <v>00697821</v>
      </c>
    </row>
    <row r="12071" spans="1:2" x14ac:dyDescent="0.25">
      <c r="A12071" s="4">
        <v>12066</v>
      </c>
      <c r="B12071" s="3" t="str">
        <f>"00697835"</f>
        <v>00697835</v>
      </c>
    </row>
    <row r="12072" spans="1:2" x14ac:dyDescent="0.25">
      <c r="A12072" s="4">
        <v>12067</v>
      </c>
      <c r="B12072" s="3" t="str">
        <f>"00697837"</f>
        <v>00697837</v>
      </c>
    </row>
    <row r="12073" spans="1:2" x14ac:dyDescent="0.25">
      <c r="A12073" s="4">
        <v>12068</v>
      </c>
      <c r="B12073" s="3" t="str">
        <f>"00697843"</f>
        <v>00697843</v>
      </c>
    </row>
    <row r="12074" spans="1:2" x14ac:dyDescent="0.25">
      <c r="A12074" s="4">
        <v>12069</v>
      </c>
      <c r="B12074" s="3" t="str">
        <f>"00697850"</f>
        <v>00697850</v>
      </c>
    </row>
    <row r="12075" spans="1:2" x14ac:dyDescent="0.25">
      <c r="A12075" s="4">
        <v>12070</v>
      </c>
      <c r="B12075" s="3" t="str">
        <f>"00697857"</f>
        <v>00697857</v>
      </c>
    </row>
    <row r="12076" spans="1:2" x14ac:dyDescent="0.25">
      <c r="A12076" s="4">
        <v>12071</v>
      </c>
      <c r="B12076" s="3" t="str">
        <f>"00697865"</f>
        <v>00697865</v>
      </c>
    </row>
    <row r="12077" spans="1:2" x14ac:dyDescent="0.25">
      <c r="A12077" s="4">
        <v>12072</v>
      </c>
      <c r="B12077" s="3" t="str">
        <f>"00697866"</f>
        <v>00697866</v>
      </c>
    </row>
    <row r="12078" spans="1:2" x14ac:dyDescent="0.25">
      <c r="A12078" s="4">
        <v>12073</v>
      </c>
      <c r="B12078" s="3" t="str">
        <f>"00697876"</f>
        <v>00697876</v>
      </c>
    </row>
    <row r="12079" spans="1:2" x14ac:dyDescent="0.25">
      <c r="A12079" s="4">
        <v>12074</v>
      </c>
      <c r="B12079" s="3" t="str">
        <f>"00697882"</f>
        <v>00697882</v>
      </c>
    </row>
    <row r="12080" spans="1:2" x14ac:dyDescent="0.25">
      <c r="A12080" s="4">
        <v>12075</v>
      </c>
      <c r="B12080" s="3" t="str">
        <f>"00697889"</f>
        <v>00697889</v>
      </c>
    </row>
    <row r="12081" spans="1:2" x14ac:dyDescent="0.25">
      <c r="A12081" s="4">
        <v>12076</v>
      </c>
      <c r="B12081" s="3" t="str">
        <f>"00697896"</f>
        <v>00697896</v>
      </c>
    </row>
    <row r="12082" spans="1:2" x14ac:dyDescent="0.25">
      <c r="A12082" s="4">
        <v>12077</v>
      </c>
      <c r="B12082" s="3" t="str">
        <f>"00697903"</f>
        <v>00697903</v>
      </c>
    </row>
    <row r="12083" spans="1:2" x14ac:dyDescent="0.25">
      <c r="A12083" s="4">
        <v>12078</v>
      </c>
      <c r="B12083" s="3" t="str">
        <f>"00697904"</f>
        <v>00697904</v>
      </c>
    </row>
    <row r="12084" spans="1:2" x14ac:dyDescent="0.25">
      <c r="A12084" s="4">
        <v>12079</v>
      </c>
      <c r="B12084" s="3" t="str">
        <f>"00697906"</f>
        <v>00697906</v>
      </c>
    </row>
    <row r="12085" spans="1:2" x14ac:dyDescent="0.25">
      <c r="A12085" s="4">
        <v>12080</v>
      </c>
      <c r="B12085" s="3" t="str">
        <f>"00697910"</f>
        <v>00697910</v>
      </c>
    </row>
    <row r="12086" spans="1:2" x14ac:dyDescent="0.25">
      <c r="A12086" s="4">
        <v>12081</v>
      </c>
      <c r="B12086" s="3" t="str">
        <f>"00697912"</f>
        <v>00697912</v>
      </c>
    </row>
    <row r="12087" spans="1:2" x14ac:dyDescent="0.25">
      <c r="A12087" s="4">
        <v>12082</v>
      </c>
      <c r="B12087" s="3" t="str">
        <f>"00697914"</f>
        <v>00697914</v>
      </c>
    </row>
    <row r="12088" spans="1:2" x14ac:dyDescent="0.25">
      <c r="A12088" s="4">
        <v>12083</v>
      </c>
      <c r="B12088" s="3" t="str">
        <f>"00697919"</f>
        <v>00697919</v>
      </c>
    </row>
    <row r="12089" spans="1:2" x14ac:dyDescent="0.25">
      <c r="A12089" s="4">
        <v>12084</v>
      </c>
      <c r="B12089" s="3" t="str">
        <f>"00697923"</f>
        <v>00697923</v>
      </c>
    </row>
    <row r="12090" spans="1:2" x14ac:dyDescent="0.25">
      <c r="A12090" s="4">
        <v>12085</v>
      </c>
      <c r="B12090" s="3" t="str">
        <f>"00697929"</f>
        <v>00697929</v>
      </c>
    </row>
    <row r="12091" spans="1:2" x14ac:dyDescent="0.25">
      <c r="A12091" s="4">
        <v>12086</v>
      </c>
      <c r="B12091" s="3" t="str">
        <f>"00697930"</f>
        <v>00697930</v>
      </c>
    </row>
    <row r="12092" spans="1:2" x14ac:dyDescent="0.25">
      <c r="A12092" s="4">
        <v>12087</v>
      </c>
      <c r="B12092" s="3" t="str">
        <f>"00697935"</f>
        <v>00697935</v>
      </c>
    </row>
    <row r="12093" spans="1:2" x14ac:dyDescent="0.25">
      <c r="A12093" s="4">
        <v>12088</v>
      </c>
      <c r="B12093" s="3" t="str">
        <f>"00697937"</f>
        <v>00697937</v>
      </c>
    </row>
    <row r="12094" spans="1:2" x14ac:dyDescent="0.25">
      <c r="A12094" s="4">
        <v>12089</v>
      </c>
      <c r="B12094" s="3" t="str">
        <f>"00697940"</f>
        <v>00697940</v>
      </c>
    </row>
    <row r="12095" spans="1:2" x14ac:dyDescent="0.25">
      <c r="A12095" s="4">
        <v>12090</v>
      </c>
      <c r="B12095" s="3" t="str">
        <f>"00697943"</f>
        <v>00697943</v>
      </c>
    </row>
    <row r="12096" spans="1:2" x14ac:dyDescent="0.25">
      <c r="A12096" s="4">
        <v>12091</v>
      </c>
      <c r="B12096" s="3" t="str">
        <f>"00697987"</f>
        <v>00697987</v>
      </c>
    </row>
    <row r="12097" spans="1:2" x14ac:dyDescent="0.25">
      <c r="A12097" s="4">
        <v>12092</v>
      </c>
      <c r="B12097" s="3" t="str">
        <f>"00697991"</f>
        <v>00697991</v>
      </c>
    </row>
    <row r="12098" spans="1:2" x14ac:dyDescent="0.25">
      <c r="A12098" s="4">
        <v>12093</v>
      </c>
      <c r="B12098" s="3" t="str">
        <f>"00697992"</f>
        <v>00697992</v>
      </c>
    </row>
    <row r="12099" spans="1:2" x14ac:dyDescent="0.25">
      <c r="A12099" s="4">
        <v>12094</v>
      </c>
      <c r="B12099" s="3" t="str">
        <f>"00698010"</f>
        <v>00698010</v>
      </c>
    </row>
    <row r="12100" spans="1:2" x14ac:dyDescent="0.25">
      <c r="A12100" s="4">
        <v>12095</v>
      </c>
      <c r="B12100" s="3" t="str">
        <f>"00698014"</f>
        <v>00698014</v>
      </c>
    </row>
    <row r="12101" spans="1:2" x14ac:dyDescent="0.25">
      <c r="A12101" s="4">
        <v>12096</v>
      </c>
      <c r="B12101" s="3" t="str">
        <f>"00698029"</f>
        <v>00698029</v>
      </c>
    </row>
    <row r="12102" spans="1:2" x14ac:dyDescent="0.25">
      <c r="A12102" s="4">
        <v>12097</v>
      </c>
      <c r="B12102" s="3" t="str">
        <f>"00698040"</f>
        <v>00698040</v>
      </c>
    </row>
    <row r="12103" spans="1:2" x14ac:dyDescent="0.25">
      <c r="A12103" s="4">
        <v>12098</v>
      </c>
      <c r="B12103" s="3" t="str">
        <f>"00698071"</f>
        <v>00698071</v>
      </c>
    </row>
    <row r="12104" spans="1:2" x14ac:dyDescent="0.25">
      <c r="A12104" s="4">
        <v>12099</v>
      </c>
      <c r="B12104" s="3" t="str">
        <f>"00698073"</f>
        <v>00698073</v>
      </c>
    </row>
    <row r="12105" spans="1:2" x14ac:dyDescent="0.25">
      <c r="A12105" s="4">
        <v>12100</v>
      </c>
      <c r="B12105" s="3" t="str">
        <f>"00698077"</f>
        <v>00698077</v>
      </c>
    </row>
    <row r="12106" spans="1:2" x14ac:dyDescent="0.25">
      <c r="A12106" s="4">
        <v>12101</v>
      </c>
      <c r="B12106" s="3" t="str">
        <f>"00698080"</f>
        <v>00698080</v>
      </c>
    </row>
    <row r="12107" spans="1:2" x14ac:dyDescent="0.25">
      <c r="A12107" s="4">
        <v>12102</v>
      </c>
      <c r="B12107" s="3" t="str">
        <f>"00698090"</f>
        <v>00698090</v>
      </c>
    </row>
    <row r="12108" spans="1:2" x14ac:dyDescent="0.25">
      <c r="A12108" s="4">
        <v>12103</v>
      </c>
      <c r="B12108" s="3" t="str">
        <f>"00698095"</f>
        <v>00698095</v>
      </c>
    </row>
    <row r="12109" spans="1:2" x14ac:dyDescent="0.25">
      <c r="A12109" s="4">
        <v>12104</v>
      </c>
      <c r="B12109" s="3" t="str">
        <f>"00698098"</f>
        <v>00698098</v>
      </c>
    </row>
    <row r="12110" spans="1:2" x14ac:dyDescent="0.25">
      <c r="A12110" s="4">
        <v>12105</v>
      </c>
      <c r="B12110" s="3" t="str">
        <f>"00698099"</f>
        <v>00698099</v>
      </c>
    </row>
    <row r="12111" spans="1:2" x14ac:dyDescent="0.25">
      <c r="A12111" s="4">
        <v>12106</v>
      </c>
      <c r="B12111" s="3" t="str">
        <f>"00698106"</f>
        <v>00698106</v>
      </c>
    </row>
    <row r="12112" spans="1:2" x14ac:dyDescent="0.25">
      <c r="A12112" s="4">
        <v>12107</v>
      </c>
      <c r="B12112" s="3" t="str">
        <f>"00698107"</f>
        <v>00698107</v>
      </c>
    </row>
    <row r="12113" spans="1:2" x14ac:dyDescent="0.25">
      <c r="A12113" s="4">
        <v>12108</v>
      </c>
      <c r="B12113" s="3" t="str">
        <f>"00698114"</f>
        <v>00698114</v>
      </c>
    </row>
    <row r="12114" spans="1:2" x14ac:dyDescent="0.25">
      <c r="A12114" s="4">
        <v>12109</v>
      </c>
      <c r="B12114" s="3" t="str">
        <f>"00698115"</f>
        <v>00698115</v>
      </c>
    </row>
    <row r="12115" spans="1:2" x14ac:dyDescent="0.25">
      <c r="A12115" s="4">
        <v>12110</v>
      </c>
      <c r="B12115" s="3" t="str">
        <f>"00698121"</f>
        <v>00698121</v>
      </c>
    </row>
    <row r="12116" spans="1:2" x14ac:dyDescent="0.25">
      <c r="A12116" s="4">
        <v>12111</v>
      </c>
      <c r="B12116" s="3" t="str">
        <f>"00698128"</f>
        <v>00698128</v>
      </c>
    </row>
    <row r="12117" spans="1:2" x14ac:dyDescent="0.25">
      <c r="A12117" s="4">
        <v>12112</v>
      </c>
      <c r="B12117" s="3" t="str">
        <f>"00698136"</f>
        <v>00698136</v>
      </c>
    </row>
    <row r="12118" spans="1:2" x14ac:dyDescent="0.25">
      <c r="A12118" s="4">
        <v>12113</v>
      </c>
      <c r="B12118" s="3" t="str">
        <f>"00698147"</f>
        <v>00698147</v>
      </c>
    </row>
    <row r="12119" spans="1:2" x14ac:dyDescent="0.25">
      <c r="A12119" s="4">
        <v>12114</v>
      </c>
      <c r="B12119" s="3" t="str">
        <f>"00698149"</f>
        <v>00698149</v>
      </c>
    </row>
    <row r="12120" spans="1:2" x14ac:dyDescent="0.25">
      <c r="A12120" s="4">
        <v>12115</v>
      </c>
      <c r="B12120" s="3" t="str">
        <f>"00698151"</f>
        <v>00698151</v>
      </c>
    </row>
    <row r="12121" spans="1:2" x14ac:dyDescent="0.25">
      <c r="A12121" s="4">
        <v>12116</v>
      </c>
      <c r="B12121" s="3" t="str">
        <f>"00698152"</f>
        <v>00698152</v>
      </c>
    </row>
    <row r="12122" spans="1:2" x14ac:dyDescent="0.25">
      <c r="A12122" s="4">
        <v>12117</v>
      </c>
      <c r="B12122" s="3" t="str">
        <f>"00698156"</f>
        <v>00698156</v>
      </c>
    </row>
    <row r="12123" spans="1:2" x14ac:dyDescent="0.25">
      <c r="A12123" s="4">
        <v>12118</v>
      </c>
      <c r="B12123" s="3" t="str">
        <f>"00698157"</f>
        <v>00698157</v>
      </c>
    </row>
    <row r="12124" spans="1:2" x14ac:dyDescent="0.25">
      <c r="A12124" s="4">
        <v>12119</v>
      </c>
      <c r="B12124" s="3" t="str">
        <f>"00698160"</f>
        <v>00698160</v>
      </c>
    </row>
    <row r="12125" spans="1:2" x14ac:dyDescent="0.25">
      <c r="A12125" s="4">
        <v>12120</v>
      </c>
      <c r="B12125" s="3" t="str">
        <f>"00698163"</f>
        <v>00698163</v>
      </c>
    </row>
    <row r="12126" spans="1:2" x14ac:dyDescent="0.25">
      <c r="A12126" s="4">
        <v>12121</v>
      </c>
      <c r="B12126" s="3" t="str">
        <f>"00698164"</f>
        <v>00698164</v>
      </c>
    </row>
    <row r="12127" spans="1:2" x14ac:dyDescent="0.25">
      <c r="A12127" s="4">
        <v>12122</v>
      </c>
      <c r="B12127" s="3" t="str">
        <f>"00698176"</f>
        <v>00698176</v>
      </c>
    </row>
    <row r="12128" spans="1:2" x14ac:dyDescent="0.25">
      <c r="A12128" s="4">
        <v>12123</v>
      </c>
      <c r="B12128" s="3" t="str">
        <f>"00698182"</f>
        <v>00698182</v>
      </c>
    </row>
    <row r="12129" spans="1:2" x14ac:dyDescent="0.25">
      <c r="A12129" s="4">
        <v>12124</v>
      </c>
      <c r="B12129" s="3" t="str">
        <f>"00698189"</f>
        <v>00698189</v>
      </c>
    </row>
    <row r="12130" spans="1:2" x14ac:dyDescent="0.25">
      <c r="A12130" s="4">
        <v>12125</v>
      </c>
      <c r="B12130" s="3" t="str">
        <f>"00698193"</f>
        <v>00698193</v>
      </c>
    </row>
    <row r="12131" spans="1:2" x14ac:dyDescent="0.25">
      <c r="A12131" s="4">
        <v>12126</v>
      </c>
      <c r="B12131" s="3" t="str">
        <f>"00698201"</f>
        <v>00698201</v>
      </c>
    </row>
    <row r="12132" spans="1:2" x14ac:dyDescent="0.25">
      <c r="A12132" s="4">
        <v>12127</v>
      </c>
      <c r="B12132" s="3" t="str">
        <f>"00698207"</f>
        <v>00698207</v>
      </c>
    </row>
    <row r="12133" spans="1:2" x14ac:dyDescent="0.25">
      <c r="A12133" s="4">
        <v>12128</v>
      </c>
      <c r="B12133" s="3" t="str">
        <f>"00698208"</f>
        <v>00698208</v>
      </c>
    </row>
    <row r="12134" spans="1:2" x14ac:dyDescent="0.25">
      <c r="A12134" s="4">
        <v>12129</v>
      </c>
      <c r="B12134" s="3" t="str">
        <f>"00698210"</f>
        <v>00698210</v>
      </c>
    </row>
    <row r="12135" spans="1:2" x14ac:dyDescent="0.25">
      <c r="A12135" s="4">
        <v>12130</v>
      </c>
      <c r="B12135" s="3" t="str">
        <f>"00698211"</f>
        <v>00698211</v>
      </c>
    </row>
    <row r="12136" spans="1:2" x14ac:dyDescent="0.25">
      <c r="A12136" s="4">
        <v>12131</v>
      </c>
      <c r="B12136" s="3" t="str">
        <f>"00698217"</f>
        <v>00698217</v>
      </c>
    </row>
    <row r="12137" spans="1:2" x14ac:dyDescent="0.25">
      <c r="A12137" s="4">
        <v>12132</v>
      </c>
      <c r="B12137" s="3" t="str">
        <f>"00698221"</f>
        <v>00698221</v>
      </c>
    </row>
    <row r="12138" spans="1:2" x14ac:dyDescent="0.25">
      <c r="A12138" s="4">
        <v>12133</v>
      </c>
      <c r="B12138" s="3" t="str">
        <f>"00698223"</f>
        <v>00698223</v>
      </c>
    </row>
    <row r="12139" spans="1:2" x14ac:dyDescent="0.25">
      <c r="A12139" s="4">
        <v>12134</v>
      </c>
      <c r="B12139" s="3" t="str">
        <f>"00698236"</f>
        <v>00698236</v>
      </c>
    </row>
    <row r="12140" spans="1:2" x14ac:dyDescent="0.25">
      <c r="A12140" s="4">
        <v>12135</v>
      </c>
      <c r="B12140" s="3" t="str">
        <f>"00698238"</f>
        <v>00698238</v>
      </c>
    </row>
    <row r="12141" spans="1:2" x14ac:dyDescent="0.25">
      <c r="A12141" s="4">
        <v>12136</v>
      </c>
      <c r="B12141" s="3" t="str">
        <f>"00698244"</f>
        <v>00698244</v>
      </c>
    </row>
    <row r="12142" spans="1:2" x14ac:dyDescent="0.25">
      <c r="A12142" s="4">
        <v>12137</v>
      </c>
      <c r="B12142" s="3" t="str">
        <f>"00698248"</f>
        <v>00698248</v>
      </c>
    </row>
    <row r="12143" spans="1:2" x14ac:dyDescent="0.25">
      <c r="A12143" s="4">
        <v>12138</v>
      </c>
      <c r="B12143" s="3" t="str">
        <f>"00698250"</f>
        <v>00698250</v>
      </c>
    </row>
    <row r="12144" spans="1:2" x14ac:dyDescent="0.25">
      <c r="A12144" s="4">
        <v>12139</v>
      </c>
      <c r="B12144" s="3" t="str">
        <f>"00698258"</f>
        <v>00698258</v>
      </c>
    </row>
    <row r="12145" spans="1:2" x14ac:dyDescent="0.25">
      <c r="A12145" s="4">
        <v>12140</v>
      </c>
      <c r="B12145" s="3" t="str">
        <f>"00698264"</f>
        <v>00698264</v>
      </c>
    </row>
    <row r="12146" spans="1:2" x14ac:dyDescent="0.25">
      <c r="A12146" s="4">
        <v>12141</v>
      </c>
      <c r="B12146" s="3" t="str">
        <f>"00698265"</f>
        <v>00698265</v>
      </c>
    </row>
    <row r="12147" spans="1:2" x14ac:dyDescent="0.25">
      <c r="A12147" s="4">
        <v>12142</v>
      </c>
      <c r="B12147" s="3" t="str">
        <f>"00698273"</f>
        <v>00698273</v>
      </c>
    </row>
    <row r="12148" spans="1:2" x14ac:dyDescent="0.25">
      <c r="A12148" s="4">
        <v>12143</v>
      </c>
      <c r="B12148" s="3" t="str">
        <f>"00698284"</f>
        <v>00698284</v>
      </c>
    </row>
    <row r="12149" spans="1:2" x14ac:dyDescent="0.25">
      <c r="A12149" s="4">
        <v>12144</v>
      </c>
      <c r="B12149" s="3" t="str">
        <f>"00698295"</f>
        <v>00698295</v>
      </c>
    </row>
    <row r="12150" spans="1:2" x14ac:dyDescent="0.25">
      <c r="A12150" s="4">
        <v>12145</v>
      </c>
      <c r="B12150" s="3" t="str">
        <f>"00698297"</f>
        <v>00698297</v>
      </c>
    </row>
    <row r="12151" spans="1:2" x14ac:dyDescent="0.25">
      <c r="A12151" s="4">
        <v>12146</v>
      </c>
      <c r="B12151" s="3" t="str">
        <f>"00698300"</f>
        <v>00698300</v>
      </c>
    </row>
    <row r="12152" spans="1:2" x14ac:dyDescent="0.25">
      <c r="A12152" s="4">
        <v>12147</v>
      </c>
      <c r="B12152" s="3" t="str">
        <f>"00698307"</f>
        <v>00698307</v>
      </c>
    </row>
    <row r="12153" spans="1:2" x14ac:dyDescent="0.25">
      <c r="A12153" s="4">
        <v>12148</v>
      </c>
      <c r="B12153" s="3" t="str">
        <f>"00698321"</f>
        <v>00698321</v>
      </c>
    </row>
    <row r="12154" spans="1:2" x14ac:dyDescent="0.25">
      <c r="A12154" s="4">
        <v>12149</v>
      </c>
      <c r="B12154" s="3" t="str">
        <f>"00698346"</f>
        <v>00698346</v>
      </c>
    </row>
    <row r="12155" spans="1:2" x14ac:dyDescent="0.25">
      <c r="A12155" s="4">
        <v>12150</v>
      </c>
      <c r="B12155" s="3" t="str">
        <f>"00698349"</f>
        <v>00698349</v>
      </c>
    </row>
    <row r="12156" spans="1:2" x14ac:dyDescent="0.25">
      <c r="A12156" s="4">
        <v>12151</v>
      </c>
      <c r="B12156" s="3" t="str">
        <f>"00698361"</f>
        <v>00698361</v>
      </c>
    </row>
    <row r="12157" spans="1:2" x14ac:dyDescent="0.25">
      <c r="A12157" s="4">
        <v>12152</v>
      </c>
      <c r="B12157" s="3" t="str">
        <f>"00698386"</f>
        <v>00698386</v>
      </c>
    </row>
    <row r="12158" spans="1:2" x14ac:dyDescent="0.25">
      <c r="A12158" s="4">
        <v>12153</v>
      </c>
      <c r="B12158" s="3" t="str">
        <f>"00698389"</f>
        <v>00698389</v>
      </c>
    </row>
    <row r="12159" spans="1:2" x14ac:dyDescent="0.25">
      <c r="A12159" s="4">
        <v>12154</v>
      </c>
      <c r="B12159" s="3" t="str">
        <f>"00698397"</f>
        <v>00698397</v>
      </c>
    </row>
    <row r="12160" spans="1:2" x14ac:dyDescent="0.25">
      <c r="A12160" s="4">
        <v>12155</v>
      </c>
      <c r="B12160" s="3" t="str">
        <f>"00698405"</f>
        <v>00698405</v>
      </c>
    </row>
    <row r="12161" spans="1:2" x14ac:dyDescent="0.25">
      <c r="A12161" s="4">
        <v>12156</v>
      </c>
      <c r="B12161" s="3" t="str">
        <f>"00698414"</f>
        <v>00698414</v>
      </c>
    </row>
    <row r="12162" spans="1:2" x14ac:dyDescent="0.25">
      <c r="A12162" s="4">
        <v>12157</v>
      </c>
      <c r="B12162" s="3" t="str">
        <f>"00698434"</f>
        <v>00698434</v>
      </c>
    </row>
    <row r="12163" spans="1:2" x14ac:dyDescent="0.25">
      <c r="A12163" s="4">
        <v>12158</v>
      </c>
      <c r="B12163" s="3" t="str">
        <f>"00698439"</f>
        <v>00698439</v>
      </c>
    </row>
    <row r="12164" spans="1:2" x14ac:dyDescent="0.25">
      <c r="A12164" s="4">
        <v>12159</v>
      </c>
      <c r="B12164" s="3" t="str">
        <f>"00698441"</f>
        <v>00698441</v>
      </c>
    </row>
    <row r="12165" spans="1:2" x14ac:dyDescent="0.25">
      <c r="A12165" s="4">
        <v>12160</v>
      </c>
      <c r="B12165" s="3" t="str">
        <f>"00698442"</f>
        <v>00698442</v>
      </c>
    </row>
    <row r="12166" spans="1:2" x14ac:dyDescent="0.25">
      <c r="A12166" s="4">
        <v>12161</v>
      </c>
      <c r="B12166" s="3" t="str">
        <f>"00698448"</f>
        <v>00698448</v>
      </c>
    </row>
    <row r="12167" spans="1:2" x14ac:dyDescent="0.25">
      <c r="A12167" s="4">
        <v>12162</v>
      </c>
      <c r="B12167" s="3" t="str">
        <f>"00698453"</f>
        <v>00698453</v>
      </c>
    </row>
    <row r="12168" spans="1:2" x14ac:dyDescent="0.25">
      <c r="A12168" s="4">
        <v>12163</v>
      </c>
      <c r="B12168" s="3" t="str">
        <f>"00698456"</f>
        <v>00698456</v>
      </c>
    </row>
    <row r="12169" spans="1:2" x14ac:dyDescent="0.25">
      <c r="A12169" s="4">
        <v>12164</v>
      </c>
      <c r="B12169" s="3" t="str">
        <f>"00698464"</f>
        <v>00698464</v>
      </c>
    </row>
    <row r="12170" spans="1:2" x14ac:dyDescent="0.25">
      <c r="A12170" s="4">
        <v>12165</v>
      </c>
      <c r="B12170" s="3" t="str">
        <f>"00698547"</f>
        <v>00698547</v>
      </c>
    </row>
    <row r="12171" spans="1:2" x14ac:dyDescent="0.25">
      <c r="A12171" s="4">
        <v>12166</v>
      </c>
      <c r="B12171" s="3" t="str">
        <f>"00698550"</f>
        <v>00698550</v>
      </c>
    </row>
    <row r="12172" spans="1:2" x14ac:dyDescent="0.25">
      <c r="A12172" s="4">
        <v>12167</v>
      </c>
      <c r="B12172" s="3" t="str">
        <f>"00698611"</f>
        <v>00698611</v>
      </c>
    </row>
    <row r="12173" spans="1:2" x14ac:dyDescent="0.25">
      <c r="A12173" s="4">
        <v>12168</v>
      </c>
      <c r="B12173" s="3" t="str">
        <f>"00698613"</f>
        <v>00698613</v>
      </c>
    </row>
    <row r="12174" spans="1:2" x14ac:dyDescent="0.25">
      <c r="A12174" s="4">
        <v>12169</v>
      </c>
      <c r="B12174" s="3" t="str">
        <f>"00698614"</f>
        <v>00698614</v>
      </c>
    </row>
    <row r="12175" spans="1:2" x14ac:dyDescent="0.25">
      <c r="A12175" s="4">
        <v>12170</v>
      </c>
      <c r="B12175" s="3" t="str">
        <f>"00698630"</f>
        <v>00698630</v>
      </c>
    </row>
    <row r="12176" spans="1:2" x14ac:dyDescent="0.25">
      <c r="A12176" s="4">
        <v>12171</v>
      </c>
      <c r="B12176" s="3" t="str">
        <f>"00698645"</f>
        <v>00698645</v>
      </c>
    </row>
    <row r="12177" spans="1:2" x14ac:dyDescent="0.25">
      <c r="A12177" s="4">
        <v>12172</v>
      </c>
      <c r="B12177" s="3" t="str">
        <f>"00698647"</f>
        <v>00698647</v>
      </c>
    </row>
    <row r="12178" spans="1:2" x14ac:dyDescent="0.25">
      <c r="A12178" s="4">
        <v>12173</v>
      </c>
      <c r="B12178" s="3" t="str">
        <f>"00698648"</f>
        <v>00698648</v>
      </c>
    </row>
    <row r="12179" spans="1:2" x14ac:dyDescent="0.25">
      <c r="A12179" s="4">
        <v>12174</v>
      </c>
      <c r="B12179" s="3" t="str">
        <f>"00698654"</f>
        <v>00698654</v>
      </c>
    </row>
    <row r="12180" spans="1:2" x14ac:dyDescent="0.25">
      <c r="A12180" s="4">
        <v>12175</v>
      </c>
      <c r="B12180" s="3" t="str">
        <f>"00698666"</f>
        <v>00698666</v>
      </c>
    </row>
    <row r="12181" spans="1:2" x14ac:dyDescent="0.25">
      <c r="A12181" s="4">
        <v>12176</v>
      </c>
      <c r="B12181" s="3" t="str">
        <f>"00698667"</f>
        <v>00698667</v>
      </c>
    </row>
    <row r="12182" spans="1:2" x14ac:dyDescent="0.25">
      <c r="A12182" s="4">
        <v>12177</v>
      </c>
      <c r="B12182" s="3" t="str">
        <f>"00698668"</f>
        <v>00698668</v>
      </c>
    </row>
    <row r="12183" spans="1:2" x14ac:dyDescent="0.25">
      <c r="A12183" s="4">
        <v>12178</v>
      </c>
      <c r="B12183" s="3" t="str">
        <f>"00698670"</f>
        <v>00698670</v>
      </c>
    </row>
    <row r="12184" spans="1:2" x14ac:dyDescent="0.25">
      <c r="A12184" s="4">
        <v>12179</v>
      </c>
      <c r="B12184" s="3" t="str">
        <f>"00698671"</f>
        <v>00698671</v>
      </c>
    </row>
    <row r="12185" spans="1:2" x14ac:dyDescent="0.25">
      <c r="A12185" s="4">
        <v>12180</v>
      </c>
      <c r="B12185" s="3" t="str">
        <f>"00698673"</f>
        <v>00698673</v>
      </c>
    </row>
    <row r="12186" spans="1:2" x14ac:dyDescent="0.25">
      <c r="A12186" s="4">
        <v>12181</v>
      </c>
      <c r="B12186" s="3" t="str">
        <f>"00698679"</f>
        <v>00698679</v>
      </c>
    </row>
    <row r="12187" spans="1:2" x14ac:dyDescent="0.25">
      <c r="A12187" s="4">
        <v>12182</v>
      </c>
      <c r="B12187" s="3" t="str">
        <f>"00698680"</f>
        <v>00698680</v>
      </c>
    </row>
    <row r="12188" spans="1:2" x14ac:dyDescent="0.25">
      <c r="A12188" s="4">
        <v>12183</v>
      </c>
      <c r="B12188" s="3" t="str">
        <f>"00698692"</f>
        <v>00698692</v>
      </c>
    </row>
    <row r="12189" spans="1:2" x14ac:dyDescent="0.25">
      <c r="A12189" s="4">
        <v>12184</v>
      </c>
      <c r="B12189" s="3" t="str">
        <f>"00698700"</f>
        <v>00698700</v>
      </c>
    </row>
    <row r="12190" spans="1:2" x14ac:dyDescent="0.25">
      <c r="A12190" s="4">
        <v>12185</v>
      </c>
      <c r="B12190" s="3" t="str">
        <f>"00698701"</f>
        <v>00698701</v>
      </c>
    </row>
    <row r="12191" spans="1:2" x14ac:dyDescent="0.25">
      <c r="A12191" s="4">
        <v>12186</v>
      </c>
      <c r="B12191" s="3" t="str">
        <f>"00698703"</f>
        <v>00698703</v>
      </c>
    </row>
    <row r="12192" spans="1:2" x14ac:dyDescent="0.25">
      <c r="A12192" s="4">
        <v>12187</v>
      </c>
      <c r="B12192" s="3" t="str">
        <f>"00698706"</f>
        <v>00698706</v>
      </c>
    </row>
    <row r="12193" spans="1:2" x14ac:dyDescent="0.25">
      <c r="A12193" s="4">
        <v>12188</v>
      </c>
      <c r="B12193" s="3" t="str">
        <f>"00698707"</f>
        <v>00698707</v>
      </c>
    </row>
    <row r="12194" spans="1:2" x14ac:dyDescent="0.25">
      <c r="A12194" s="4">
        <v>12189</v>
      </c>
      <c r="B12194" s="3" t="str">
        <f>"00698710"</f>
        <v>00698710</v>
      </c>
    </row>
    <row r="12195" spans="1:2" x14ac:dyDescent="0.25">
      <c r="A12195" s="4">
        <v>12190</v>
      </c>
      <c r="B12195" s="3" t="str">
        <f>"00698714"</f>
        <v>00698714</v>
      </c>
    </row>
    <row r="12196" spans="1:2" x14ac:dyDescent="0.25">
      <c r="A12196" s="4">
        <v>12191</v>
      </c>
      <c r="B12196" s="3" t="str">
        <f>"00698715"</f>
        <v>00698715</v>
      </c>
    </row>
    <row r="12197" spans="1:2" x14ac:dyDescent="0.25">
      <c r="A12197" s="4">
        <v>12192</v>
      </c>
      <c r="B12197" s="3" t="str">
        <f>"00698717"</f>
        <v>00698717</v>
      </c>
    </row>
    <row r="12198" spans="1:2" x14ac:dyDescent="0.25">
      <c r="A12198" s="4">
        <v>12193</v>
      </c>
      <c r="B12198" s="3" t="str">
        <f>"00698718"</f>
        <v>00698718</v>
      </c>
    </row>
    <row r="12199" spans="1:2" x14ac:dyDescent="0.25">
      <c r="A12199" s="4">
        <v>12194</v>
      </c>
      <c r="B12199" s="3" t="str">
        <f>"00698723"</f>
        <v>00698723</v>
      </c>
    </row>
    <row r="12200" spans="1:2" x14ac:dyDescent="0.25">
      <c r="A12200" s="4">
        <v>12195</v>
      </c>
      <c r="B12200" s="3" t="str">
        <f>"00698729"</f>
        <v>00698729</v>
      </c>
    </row>
    <row r="12201" spans="1:2" x14ac:dyDescent="0.25">
      <c r="A12201" s="4">
        <v>12196</v>
      </c>
      <c r="B12201" s="3" t="str">
        <f>"00698733"</f>
        <v>00698733</v>
      </c>
    </row>
    <row r="12202" spans="1:2" x14ac:dyDescent="0.25">
      <c r="A12202" s="4">
        <v>12197</v>
      </c>
      <c r="B12202" s="3" t="str">
        <f>"00698736"</f>
        <v>00698736</v>
      </c>
    </row>
    <row r="12203" spans="1:2" x14ac:dyDescent="0.25">
      <c r="A12203" s="4">
        <v>12198</v>
      </c>
      <c r="B12203" s="3" t="str">
        <f>"00698742"</f>
        <v>00698742</v>
      </c>
    </row>
    <row r="12204" spans="1:2" x14ac:dyDescent="0.25">
      <c r="A12204" s="4">
        <v>12199</v>
      </c>
      <c r="B12204" s="3" t="str">
        <f>"00698752"</f>
        <v>00698752</v>
      </c>
    </row>
    <row r="12205" spans="1:2" x14ac:dyDescent="0.25">
      <c r="A12205" s="4">
        <v>12200</v>
      </c>
      <c r="B12205" s="3" t="str">
        <f>"00698763"</f>
        <v>00698763</v>
      </c>
    </row>
    <row r="12206" spans="1:2" x14ac:dyDescent="0.25">
      <c r="A12206" s="4">
        <v>12201</v>
      </c>
      <c r="B12206" s="3" t="str">
        <f>"00698765"</f>
        <v>00698765</v>
      </c>
    </row>
    <row r="12207" spans="1:2" x14ac:dyDescent="0.25">
      <c r="A12207" s="4">
        <v>12202</v>
      </c>
      <c r="B12207" s="3" t="str">
        <f>"00698767"</f>
        <v>00698767</v>
      </c>
    </row>
    <row r="12208" spans="1:2" x14ac:dyDescent="0.25">
      <c r="A12208" s="4">
        <v>12203</v>
      </c>
      <c r="B12208" s="3" t="str">
        <f>"00698768"</f>
        <v>00698768</v>
      </c>
    </row>
    <row r="12209" spans="1:2" x14ac:dyDescent="0.25">
      <c r="A12209" s="4">
        <v>12204</v>
      </c>
      <c r="B12209" s="3" t="str">
        <f>"00698773"</f>
        <v>00698773</v>
      </c>
    </row>
    <row r="12210" spans="1:2" x14ac:dyDescent="0.25">
      <c r="A12210" s="4">
        <v>12205</v>
      </c>
      <c r="B12210" s="3" t="str">
        <f>"00698782"</f>
        <v>00698782</v>
      </c>
    </row>
    <row r="12211" spans="1:2" x14ac:dyDescent="0.25">
      <c r="A12211" s="4">
        <v>12206</v>
      </c>
      <c r="B12211" s="3" t="str">
        <f>"00698792"</f>
        <v>00698792</v>
      </c>
    </row>
    <row r="12212" spans="1:2" x14ac:dyDescent="0.25">
      <c r="A12212" s="4">
        <v>12207</v>
      </c>
      <c r="B12212" s="3" t="str">
        <f>"00698794"</f>
        <v>00698794</v>
      </c>
    </row>
    <row r="12213" spans="1:2" x14ac:dyDescent="0.25">
      <c r="A12213" s="4">
        <v>12208</v>
      </c>
      <c r="B12213" s="3" t="str">
        <f>"00698797"</f>
        <v>00698797</v>
      </c>
    </row>
    <row r="12214" spans="1:2" x14ac:dyDescent="0.25">
      <c r="A12214" s="4">
        <v>12209</v>
      </c>
      <c r="B12214" s="3" t="str">
        <f>"00698799"</f>
        <v>00698799</v>
      </c>
    </row>
    <row r="12215" spans="1:2" x14ac:dyDescent="0.25">
      <c r="A12215" s="4">
        <v>12210</v>
      </c>
      <c r="B12215" s="3" t="str">
        <f>"00698805"</f>
        <v>00698805</v>
      </c>
    </row>
    <row r="12216" spans="1:2" x14ac:dyDescent="0.25">
      <c r="A12216" s="4">
        <v>12211</v>
      </c>
      <c r="B12216" s="3" t="str">
        <f>"00698807"</f>
        <v>00698807</v>
      </c>
    </row>
    <row r="12217" spans="1:2" x14ac:dyDescent="0.25">
      <c r="A12217" s="4">
        <v>12212</v>
      </c>
      <c r="B12217" s="3" t="str">
        <f>"00698813"</f>
        <v>00698813</v>
      </c>
    </row>
    <row r="12218" spans="1:2" x14ac:dyDescent="0.25">
      <c r="A12218" s="4">
        <v>12213</v>
      </c>
      <c r="B12218" s="3" t="str">
        <f>"00698820"</f>
        <v>00698820</v>
      </c>
    </row>
    <row r="12219" spans="1:2" x14ac:dyDescent="0.25">
      <c r="A12219" s="4">
        <v>12214</v>
      </c>
      <c r="B12219" s="3" t="str">
        <f>"00698822"</f>
        <v>00698822</v>
      </c>
    </row>
    <row r="12220" spans="1:2" x14ac:dyDescent="0.25">
      <c r="A12220" s="4">
        <v>12215</v>
      </c>
      <c r="B12220" s="3" t="str">
        <f>"00698823"</f>
        <v>00698823</v>
      </c>
    </row>
    <row r="12221" spans="1:2" x14ac:dyDescent="0.25">
      <c r="A12221" s="4">
        <v>12216</v>
      </c>
      <c r="B12221" s="3" t="str">
        <f>"00698834"</f>
        <v>00698834</v>
      </c>
    </row>
    <row r="12222" spans="1:2" x14ac:dyDescent="0.25">
      <c r="A12222" s="4">
        <v>12217</v>
      </c>
      <c r="B12222" s="3" t="str">
        <f>"00698835"</f>
        <v>00698835</v>
      </c>
    </row>
    <row r="12223" spans="1:2" x14ac:dyDescent="0.25">
      <c r="A12223" s="4">
        <v>12218</v>
      </c>
      <c r="B12223" s="3" t="str">
        <f>"00698840"</f>
        <v>00698840</v>
      </c>
    </row>
    <row r="12224" spans="1:2" x14ac:dyDescent="0.25">
      <c r="A12224" s="4">
        <v>12219</v>
      </c>
      <c r="B12224" s="3" t="str">
        <f>"00698842"</f>
        <v>00698842</v>
      </c>
    </row>
    <row r="12225" spans="1:2" x14ac:dyDescent="0.25">
      <c r="A12225" s="4">
        <v>12220</v>
      </c>
      <c r="B12225" s="3" t="str">
        <f>"00698843"</f>
        <v>00698843</v>
      </c>
    </row>
    <row r="12226" spans="1:2" x14ac:dyDescent="0.25">
      <c r="A12226" s="4">
        <v>12221</v>
      </c>
      <c r="B12226" s="3" t="str">
        <f>"00698850"</f>
        <v>00698850</v>
      </c>
    </row>
    <row r="12227" spans="1:2" x14ac:dyDescent="0.25">
      <c r="A12227" s="4">
        <v>12222</v>
      </c>
      <c r="B12227" s="3" t="str">
        <f>"00698856"</f>
        <v>00698856</v>
      </c>
    </row>
    <row r="12228" spans="1:2" x14ac:dyDescent="0.25">
      <c r="A12228" s="4">
        <v>12223</v>
      </c>
      <c r="B12228" s="3" t="str">
        <f>"00698873"</f>
        <v>00698873</v>
      </c>
    </row>
    <row r="12229" spans="1:2" x14ac:dyDescent="0.25">
      <c r="A12229" s="4">
        <v>12224</v>
      </c>
      <c r="B12229" s="3" t="str">
        <f>"00698879"</f>
        <v>00698879</v>
      </c>
    </row>
    <row r="12230" spans="1:2" x14ac:dyDescent="0.25">
      <c r="A12230" s="4">
        <v>12225</v>
      </c>
      <c r="B12230" s="3" t="str">
        <f>"00698885"</f>
        <v>00698885</v>
      </c>
    </row>
    <row r="12231" spans="1:2" x14ac:dyDescent="0.25">
      <c r="A12231" s="4">
        <v>12226</v>
      </c>
      <c r="B12231" s="3" t="str">
        <f>"00698887"</f>
        <v>00698887</v>
      </c>
    </row>
    <row r="12232" spans="1:2" x14ac:dyDescent="0.25">
      <c r="A12232" s="4">
        <v>12227</v>
      </c>
      <c r="B12232" s="3" t="str">
        <f>"00698897"</f>
        <v>00698897</v>
      </c>
    </row>
    <row r="12233" spans="1:2" x14ac:dyDescent="0.25">
      <c r="A12233" s="4">
        <v>12228</v>
      </c>
      <c r="B12233" s="3" t="str">
        <f>"00698900"</f>
        <v>00698900</v>
      </c>
    </row>
    <row r="12234" spans="1:2" x14ac:dyDescent="0.25">
      <c r="A12234" s="4">
        <v>12229</v>
      </c>
      <c r="B12234" s="3" t="str">
        <f>"00698907"</f>
        <v>00698907</v>
      </c>
    </row>
    <row r="12235" spans="1:2" x14ac:dyDescent="0.25">
      <c r="A12235" s="4">
        <v>12230</v>
      </c>
      <c r="B12235" s="3" t="str">
        <f>"00698914"</f>
        <v>00698914</v>
      </c>
    </row>
    <row r="12236" spans="1:2" x14ac:dyDescent="0.25">
      <c r="A12236" s="4">
        <v>12231</v>
      </c>
      <c r="B12236" s="3" t="str">
        <f>"00698945"</f>
        <v>00698945</v>
      </c>
    </row>
    <row r="12237" spans="1:2" x14ac:dyDescent="0.25">
      <c r="A12237" s="4">
        <v>12232</v>
      </c>
      <c r="B12237" s="3" t="str">
        <f>"00698950"</f>
        <v>00698950</v>
      </c>
    </row>
    <row r="12238" spans="1:2" x14ac:dyDescent="0.25">
      <c r="A12238" s="4">
        <v>12233</v>
      </c>
      <c r="B12238" s="3" t="str">
        <f>"00698952"</f>
        <v>00698952</v>
      </c>
    </row>
    <row r="12239" spans="1:2" x14ac:dyDescent="0.25">
      <c r="A12239" s="4">
        <v>12234</v>
      </c>
      <c r="B12239" s="3" t="str">
        <f>"00698953"</f>
        <v>00698953</v>
      </c>
    </row>
    <row r="12240" spans="1:2" x14ac:dyDescent="0.25">
      <c r="A12240" s="4">
        <v>12235</v>
      </c>
      <c r="B12240" s="3" t="str">
        <f>"00698956"</f>
        <v>00698956</v>
      </c>
    </row>
    <row r="12241" spans="1:2" x14ac:dyDescent="0.25">
      <c r="A12241" s="4">
        <v>12236</v>
      </c>
      <c r="B12241" s="3" t="str">
        <f>"00698970"</f>
        <v>00698970</v>
      </c>
    </row>
    <row r="12242" spans="1:2" x14ac:dyDescent="0.25">
      <c r="A12242" s="4">
        <v>12237</v>
      </c>
      <c r="B12242" s="3" t="str">
        <f>"00698971"</f>
        <v>00698971</v>
      </c>
    </row>
    <row r="12243" spans="1:2" x14ac:dyDescent="0.25">
      <c r="A12243" s="4">
        <v>12238</v>
      </c>
      <c r="B12243" s="3" t="str">
        <f>"00698980"</f>
        <v>00698980</v>
      </c>
    </row>
    <row r="12244" spans="1:2" x14ac:dyDescent="0.25">
      <c r="A12244" s="4">
        <v>12239</v>
      </c>
      <c r="B12244" s="3" t="str">
        <f>"00698983"</f>
        <v>00698983</v>
      </c>
    </row>
    <row r="12245" spans="1:2" x14ac:dyDescent="0.25">
      <c r="A12245" s="4">
        <v>12240</v>
      </c>
      <c r="B12245" s="3" t="str">
        <f>"00698984"</f>
        <v>00698984</v>
      </c>
    </row>
    <row r="12246" spans="1:2" x14ac:dyDescent="0.25">
      <c r="A12246" s="4">
        <v>12241</v>
      </c>
      <c r="B12246" s="3" t="str">
        <f>"00698986"</f>
        <v>00698986</v>
      </c>
    </row>
    <row r="12247" spans="1:2" x14ac:dyDescent="0.25">
      <c r="A12247" s="4">
        <v>12242</v>
      </c>
      <c r="B12247" s="3" t="str">
        <f>"00698989"</f>
        <v>00698989</v>
      </c>
    </row>
    <row r="12248" spans="1:2" x14ac:dyDescent="0.25">
      <c r="A12248" s="4">
        <v>12243</v>
      </c>
      <c r="B12248" s="3" t="str">
        <f>"00698994"</f>
        <v>00698994</v>
      </c>
    </row>
    <row r="12249" spans="1:2" x14ac:dyDescent="0.25">
      <c r="A12249" s="4">
        <v>12244</v>
      </c>
      <c r="B12249" s="3" t="str">
        <f>"00698998"</f>
        <v>00698998</v>
      </c>
    </row>
    <row r="12250" spans="1:2" x14ac:dyDescent="0.25">
      <c r="A12250" s="4">
        <v>12245</v>
      </c>
      <c r="B12250" s="3" t="str">
        <f>"00698999"</f>
        <v>00698999</v>
      </c>
    </row>
    <row r="12251" spans="1:2" x14ac:dyDescent="0.25">
      <c r="A12251" s="4">
        <v>12246</v>
      </c>
      <c r="B12251" s="3" t="str">
        <f>"00699001"</f>
        <v>00699001</v>
      </c>
    </row>
    <row r="12252" spans="1:2" x14ac:dyDescent="0.25">
      <c r="A12252" s="4">
        <v>12247</v>
      </c>
      <c r="B12252" s="3" t="str">
        <f>"00699003"</f>
        <v>00699003</v>
      </c>
    </row>
    <row r="12253" spans="1:2" x14ac:dyDescent="0.25">
      <c r="A12253" s="4">
        <v>12248</v>
      </c>
      <c r="B12253" s="3" t="str">
        <f>"00699006"</f>
        <v>00699006</v>
      </c>
    </row>
    <row r="12254" spans="1:2" x14ac:dyDescent="0.25">
      <c r="A12254" s="4">
        <v>12249</v>
      </c>
      <c r="B12254" s="3" t="str">
        <f>"00699020"</f>
        <v>00699020</v>
      </c>
    </row>
    <row r="12255" spans="1:2" x14ac:dyDescent="0.25">
      <c r="A12255" s="4">
        <v>12250</v>
      </c>
      <c r="B12255" s="3" t="str">
        <f>"00699024"</f>
        <v>00699024</v>
      </c>
    </row>
    <row r="12256" spans="1:2" x14ac:dyDescent="0.25">
      <c r="A12256" s="4">
        <v>12251</v>
      </c>
      <c r="B12256" s="3" t="str">
        <f>"00699028"</f>
        <v>00699028</v>
      </c>
    </row>
    <row r="12257" spans="1:2" x14ac:dyDescent="0.25">
      <c r="A12257" s="4">
        <v>12252</v>
      </c>
      <c r="B12257" s="3" t="str">
        <f>"00699030"</f>
        <v>00699030</v>
      </c>
    </row>
    <row r="12258" spans="1:2" x14ac:dyDescent="0.25">
      <c r="A12258" s="4">
        <v>12253</v>
      </c>
      <c r="B12258" s="3" t="str">
        <f>"00699032"</f>
        <v>00699032</v>
      </c>
    </row>
    <row r="12259" spans="1:2" x14ac:dyDescent="0.25">
      <c r="A12259" s="4">
        <v>12254</v>
      </c>
      <c r="B12259" s="3" t="str">
        <f>"00699035"</f>
        <v>00699035</v>
      </c>
    </row>
    <row r="12260" spans="1:2" x14ac:dyDescent="0.25">
      <c r="A12260" s="4">
        <v>12255</v>
      </c>
      <c r="B12260" s="3" t="str">
        <f>"00699061"</f>
        <v>00699061</v>
      </c>
    </row>
    <row r="12261" spans="1:2" x14ac:dyDescent="0.25">
      <c r="A12261" s="4">
        <v>12256</v>
      </c>
      <c r="B12261" s="3" t="str">
        <f>"00699063"</f>
        <v>00699063</v>
      </c>
    </row>
    <row r="12262" spans="1:2" x14ac:dyDescent="0.25">
      <c r="A12262" s="4">
        <v>12257</v>
      </c>
      <c r="B12262" s="3" t="str">
        <f>"00699067"</f>
        <v>00699067</v>
      </c>
    </row>
    <row r="12263" spans="1:2" x14ac:dyDescent="0.25">
      <c r="A12263" s="4">
        <v>12258</v>
      </c>
      <c r="B12263" s="3" t="str">
        <f>"00699068"</f>
        <v>00699068</v>
      </c>
    </row>
    <row r="12264" spans="1:2" x14ac:dyDescent="0.25">
      <c r="A12264" s="4">
        <v>12259</v>
      </c>
      <c r="B12264" s="3" t="str">
        <f>"00699069"</f>
        <v>00699069</v>
      </c>
    </row>
    <row r="12265" spans="1:2" x14ac:dyDescent="0.25">
      <c r="A12265" s="4">
        <v>12260</v>
      </c>
      <c r="B12265" s="3" t="str">
        <f>"00699070"</f>
        <v>00699070</v>
      </c>
    </row>
    <row r="12266" spans="1:2" x14ac:dyDescent="0.25">
      <c r="A12266" s="4">
        <v>12261</v>
      </c>
      <c r="B12266" s="3" t="str">
        <f>"00699071"</f>
        <v>00699071</v>
      </c>
    </row>
    <row r="12267" spans="1:2" x14ac:dyDescent="0.25">
      <c r="A12267" s="4">
        <v>12262</v>
      </c>
      <c r="B12267" s="3" t="str">
        <f>"00699077"</f>
        <v>00699077</v>
      </c>
    </row>
    <row r="12268" spans="1:2" x14ac:dyDescent="0.25">
      <c r="A12268" s="4">
        <v>12263</v>
      </c>
      <c r="B12268" s="3" t="str">
        <f>"00699095"</f>
        <v>00699095</v>
      </c>
    </row>
    <row r="12269" spans="1:2" x14ac:dyDescent="0.25">
      <c r="A12269" s="4">
        <v>12264</v>
      </c>
      <c r="B12269" s="3" t="str">
        <f>"00699100"</f>
        <v>00699100</v>
      </c>
    </row>
    <row r="12270" spans="1:2" x14ac:dyDescent="0.25">
      <c r="A12270" s="4">
        <v>12265</v>
      </c>
      <c r="B12270" s="3" t="str">
        <f>"00699101"</f>
        <v>00699101</v>
      </c>
    </row>
    <row r="12271" spans="1:2" x14ac:dyDescent="0.25">
      <c r="A12271" s="4">
        <v>12266</v>
      </c>
      <c r="B12271" s="3" t="str">
        <f>"00699102"</f>
        <v>00699102</v>
      </c>
    </row>
    <row r="12272" spans="1:2" x14ac:dyDescent="0.25">
      <c r="A12272" s="4">
        <v>12267</v>
      </c>
      <c r="B12272" s="3" t="str">
        <f>"00699103"</f>
        <v>00699103</v>
      </c>
    </row>
    <row r="12273" spans="1:2" x14ac:dyDescent="0.25">
      <c r="A12273" s="4">
        <v>12268</v>
      </c>
      <c r="B12273" s="3" t="str">
        <f>"00699122"</f>
        <v>00699122</v>
      </c>
    </row>
    <row r="12274" spans="1:2" x14ac:dyDescent="0.25">
      <c r="A12274" s="4">
        <v>12269</v>
      </c>
      <c r="B12274" s="3" t="str">
        <f>"00699124"</f>
        <v>00699124</v>
      </c>
    </row>
    <row r="12275" spans="1:2" x14ac:dyDescent="0.25">
      <c r="A12275" s="4">
        <v>12270</v>
      </c>
      <c r="B12275" s="3" t="str">
        <f>"00699133"</f>
        <v>00699133</v>
      </c>
    </row>
    <row r="12276" spans="1:2" x14ac:dyDescent="0.25">
      <c r="A12276" s="4">
        <v>12271</v>
      </c>
      <c r="B12276" s="3" t="str">
        <f>"00699147"</f>
        <v>00699147</v>
      </c>
    </row>
    <row r="12277" spans="1:2" x14ac:dyDescent="0.25">
      <c r="A12277" s="4">
        <v>12272</v>
      </c>
      <c r="B12277" s="3" t="str">
        <f>"00699165"</f>
        <v>00699165</v>
      </c>
    </row>
    <row r="12278" spans="1:2" x14ac:dyDescent="0.25">
      <c r="A12278" s="4">
        <v>12273</v>
      </c>
      <c r="B12278" s="3" t="str">
        <f>"00699173"</f>
        <v>00699173</v>
      </c>
    </row>
    <row r="12279" spans="1:2" x14ac:dyDescent="0.25">
      <c r="A12279" s="4">
        <v>12274</v>
      </c>
      <c r="B12279" s="3" t="str">
        <f>"00699174"</f>
        <v>00699174</v>
      </c>
    </row>
    <row r="12280" spans="1:2" x14ac:dyDescent="0.25">
      <c r="A12280" s="4">
        <v>12275</v>
      </c>
      <c r="B12280" s="3" t="str">
        <f>"00699179"</f>
        <v>00699179</v>
      </c>
    </row>
    <row r="12281" spans="1:2" x14ac:dyDescent="0.25">
      <c r="A12281" s="4">
        <v>12276</v>
      </c>
      <c r="B12281" s="3" t="str">
        <f>"00699181"</f>
        <v>00699181</v>
      </c>
    </row>
    <row r="12282" spans="1:2" x14ac:dyDescent="0.25">
      <c r="A12282" s="4">
        <v>12277</v>
      </c>
      <c r="B12282" s="3" t="str">
        <f>"00699182"</f>
        <v>00699182</v>
      </c>
    </row>
    <row r="12283" spans="1:2" x14ac:dyDescent="0.25">
      <c r="A12283" s="4">
        <v>12278</v>
      </c>
      <c r="B12283" s="3" t="str">
        <f>"00699186"</f>
        <v>00699186</v>
      </c>
    </row>
    <row r="12284" spans="1:2" x14ac:dyDescent="0.25">
      <c r="A12284" s="4">
        <v>12279</v>
      </c>
      <c r="B12284" s="3" t="str">
        <f>"00699204"</f>
        <v>00699204</v>
      </c>
    </row>
    <row r="12285" spans="1:2" x14ac:dyDescent="0.25">
      <c r="A12285" s="4">
        <v>12280</v>
      </c>
      <c r="B12285" s="3" t="str">
        <f>"00699209"</f>
        <v>00699209</v>
      </c>
    </row>
    <row r="12286" spans="1:2" x14ac:dyDescent="0.25">
      <c r="A12286" s="4">
        <v>12281</v>
      </c>
      <c r="B12286" s="3" t="str">
        <f>"00699211"</f>
        <v>00699211</v>
      </c>
    </row>
    <row r="12287" spans="1:2" x14ac:dyDescent="0.25">
      <c r="A12287" s="4">
        <v>12282</v>
      </c>
      <c r="B12287" s="3" t="str">
        <f>"00699216"</f>
        <v>00699216</v>
      </c>
    </row>
    <row r="12288" spans="1:2" x14ac:dyDescent="0.25">
      <c r="A12288" s="4">
        <v>12283</v>
      </c>
      <c r="B12288" s="3" t="str">
        <f>"00699222"</f>
        <v>00699222</v>
      </c>
    </row>
    <row r="12289" spans="1:2" x14ac:dyDescent="0.25">
      <c r="A12289" s="4">
        <v>12284</v>
      </c>
      <c r="B12289" s="3" t="str">
        <f>"00699231"</f>
        <v>00699231</v>
      </c>
    </row>
    <row r="12290" spans="1:2" x14ac:dyDescent="0.25">
      <c r="A12290" s="4">
        <v>12285</v>
      </c>
      <c r="B12290" s="3" t="str">
        <f>"00699232"</f>
        <v>00699232</v>
      </c>
    </row>
    <row r="12291" spans="1:2" x14ac:dyDescent="0.25">
      <c r="A12291" s="4">
        <v>12286</v>
      </c>
      <c r="B12291" s="3" t="str">
        <f>"00699238"</f>
        <v>00699238</v>
      </c>
    </row>
    <row r="12292" spans="1:2" x14ac:dyDescent="0.25">
      <c r="A12292" s="4">
        <v>12287</v>
      </c>
      <c r="B12292" s="3" t="str">
        <f>"00699241"</f>
        <v>00699241</v>
      </c>
    </row>
    <row r="12293" spans="1:2" x14ac:dyDescent="0.25">
      <c r="A12293" s="4">
        <v>12288</v>
      </c>
      <c r="B12293" s="3" t="str">
        <f>"00699242"</f>
        <v>00699242</v>
      </c>
    </row>
    <row r="12294" spans="1:2" x14ac:dyDescent="0.25">
      <c r="A12294" s="4">
        <v>12289</v>
      </c>
      <c r="B12294" s="3" t="str">
        <f>"00699245"</f>
        <v>00699245</v>
      </c>
    </row>
    <row r="12295" spans="1:2" x14ac:dyDescent="0.25">
      <c r="A12295" s="4">
        <v>12290</v>
      </c>
      <c r="B12295" s="3" t="str">
        <f>"00699251"</f>
        <v>00699251</v>
      </c>
    </row>
    <row r="12296" spans="1:2" x14ac:dyDescent="0.25">
      <c r="A12296" s="4">
        <v>12291</v>
      </c>
      <c r="B12296" s="3" t="str">
        <f>"00699253"</f>
        <v>00699253</v>
      </c>
    </row>
    <row r="12297" spans="1:2" x14ac:dyDescent="0.25">
      <c r="A12297" s="4">
        <v>12292</v>
      </c>
      <c r="B12297" s="3" t="str">
        <f>"00699265"</f>
        <v>00699265</v>
      </c>
    </row>
    <row r="12298" spans="1:2" x14ac:dyDescent="0.25">
      <c r="A12298" s="4">
        <v>12293</v>
      </c>
      <c r="B12298" s="3" t="str">
        <f>"00699267"</f>
        <v>00699267</v>
      </c>
    </row>
    <row r="12299" spans="1:2" x14ac:dyDescent="0.25">
      <c r="A12299" s="4">
        <v>12294</v>
      </c>
      <c r="B12299" s="3" t="str">
        <f>"00699268"</f>
        <v>00699268</v>
      </c>
    </row>
    <row r="12300" spans="1:2" x14ac:dyDescent="0.25">
      <c r="A12300" s="4">
        <v>12295</v>
      </c>
      <c r="B12300" s="3" t="str">
        <f>"00699274"</f>
        <v>00699274</v>
      </c>
    </row>
    <row r="12301" spans="1:2" x14ac:dyDescent="0.25">
      <c r="A12301" s="4">
        <v>12296</v>
      </c>
      <c r="B12301" s="3" t="str">
        <f>"00699279"</f>
        <v>00699279</v>
      </c>
    </row>
    <row r="12302" spans="1:2" x14ac:dyDescent="0.25">
      <c r="A12302" s="4">
        <v>12297</v>
      </c>
      <c r="B12302" s="3" t="str">
        <f>"00699288"</f>
        <v>00699288</v>
      </c>
    </row>
    <row r="12303" spans="1:2" x14ac:dyDescent="0.25">
      <c r="A12303" s="4">
        <v>12298</v>
      </c>
      <c r="B12303" s="3" t="str">
        <f>"00699296"</f>
        <v>00699296</v>
      </c>
    </row>
    <row r="12304" spans="1:2" x14ac:dyDescent="0.25">
      <c r="A12304" s="4">
        <v>12299</v>
      </c>
      <c r="B12304" s="3" t="str">
        <f>"00699301"</f>
        <v>00699301</v>
      </c>
    </row>
    <row r="12305" spans="1:2" x14ac:dyDescent="0.25">
      <c r="A12305" s="4">
        <v>12300</v>
      </c>
      <c r="B12305" s="3" t="str">
        <f>"00699305"</f>
        <v>00699305</v>
      </c>
    </row>
    <row r="12306" spans="1:2" x14ac:dyDescent="0.25">
      <c r="A12306" s="4">
        <v>12301</v>
      </c>
      <c r="B12306" s="3" t="str">
        <f>"00699312"</f>
        <v>00699312</v>
      </c>
    </row>
    <row r="12307" spans="1:2" x14ac:dyDescent="0.25">
      <c r="A12307" s="4">
        <v>12302</v>
      </c>
      <c r="B12307" s="3" t="str">
        <f>"00699314"</f>
        <v>00699314</v>
      </c>
    </row>
    <row r="12308" spans="1:2" x14ac:dyDescent="0.25">
      <c r="A12308" s="4">
        <v>12303</v>
      </c>
      <c r="B12308" s="3" t="str">
        <f>"00699316"</f>
        <v>00699316</v>
      </c>
    </row>
    <row r="12309" spans="1:2" x14ac:dyDescent="0.25">
      <c r="A12309" s="4">
        <v>12304</v>
      </c>
      <c r="B12309" s="3" t="str">
        <f>"00699318"</f>
        <v>00699318</v>
      </c>
    </row>
    <row r="12310" spans="1:2" x14ac:dyDescent="0.25">
      <c r="A12310" s="4">
        <v>12305</v>
      </c>
      <c r="B12310" s="3" t="str">
        <f>"00699319"</f>
        <v>00699319</v>
      </c>
    </row>
    <row r="12311" spans="1:2" x14ac:dyDescent="0.25">
      <c r="A12311" s="4">
        <v>12306</v>
      </c>
      <c r="B12311" s="3" t="str">
        <f>"00699320"</f>
        <v>00699320</v>
      </c>
    </row>
    <row r="12312" spans="1:2" x14ac:dyDescent="0.25">
      <c r="A12312" s="4">
        <v>12307</v>
      </c>
      <c r="B12312" s="3" t="str">
        <f>"00699326"</f>
        <v>00699326</v>
      </c>
    </row>
    <row r="12313" spans="1:2" x14ac:dyDescent="0.25">
      <c r="A12313" s="4">
        <v>12308</v>
      </c>
      <c r="B12313" s="3" t="str">
        <f>"00699331"</f>
        <v>00699331</v>
      </c>
    </row>
    <row r="12314" spans="1:2" x14ac:dyDescent="0.25">
      <c r="A12314" s="4">
        <v>12309</v>
      </c>
      <c r="B12314" s="3" t="str">
        <f>"00699342"</f>
        <v>00699342</v>
      </c>
    </row>
    <row r="12315" spans="1:2" x14ac:dyDescent="0.25">
      <c r="A12315" s="4">
        <v>12310</v>
      </c>
      <c r="B12315" s="3" t="str">
        <f>"00699349"</f>
        <v>00699349</v>
      </c>
    </row>
    <row r="12316" spans="1:2" x14ac:dyDescent="0.25">
      <c r="A12316" s="4">
        <v>12311</v>
      </c>
      <c r="B12316" s="3" t="str">
        <f>"00699350"</f>
        <v>00699350</v>
      </c>
    </row>
    <row r="12317" spans="1:2" x14ac:dyDescent="0.25">
      <c r="A12317" s="4">
        <v>12312</v>
      </c>
      <c r="B12317" s="3" t="str">
        <f>"00699351"</f>
        <v>00699351</v>
      </c>
    </row>
    <row r="12318" spans="1:2" x14ac:dyDescent="0.25">
      <c r="A12318" s="4">
        <v>12313</v>
      </c>
      <c r="B12318" s="3" t="str">
        <f>"00699356"</f>
        <v>00699356</v>
      </c>
    </row>
    <row r="12319" spans="1:2" x14ac:dyDescent="0.25">
      <c r="A12319" s="4">
        <v>12314</v>
      </c>
      <c r="B12319" s="3" t="str">
        <f>"00699357"</f>
        <v>00699357</v>
      </c>
    </row>
    <row r="12320" spans="1:2" x14ac:dyDescent="0.25">
      <c r="A12320" s="4">
        <v>12315</v>
      </c>
      <c r="B12320" s="3" t="str">
        <f>"00699361"</f>
        <v>00699361</v>
      </c>
    </row>
    <row r="12321" spans="1:2" x14ac:dyDescent="0.25">
      <c r="A12321" s="4">
        <v>12316</v>
      </c>
      <c r="B12321" s="3" t="str">
        <f>"00699364"</f>
        <v>00699364</v>
      </c>
    </row>
    <row r="12322" spans="1:2" x14ac:dyDescent="0.25">
      <c r="A12322" s="4">
        <v>12317</v>
      </c>
      <c r="B12322" s="3" t="str">
        <f>"00699365"</f>
        <v>00699365</v>
      </c>
    </row>
    <row r="12323" spans="1:2" x14ac:dyDescent="0.25">
      <c r="A12323" s="4">
        <v>12318</v>
      </c>
      <c r="B12323" s="3" t="str">
        <f>"00699367"</f>
        <v>00699367</v>
      </c>
    </row>
    <row r="12324" spans="1:2" x14ac:dyDescent="0.25">
      <c r="A12324" s="4">
        <v>12319</v>
      </c>
      <c r="B12324" s="3" t="str">
        <f>"00699373"</f>
        <v>00699373</v>
      </c>
    </row>
    <row r="12325" spans="1:2" x14ac:dyDescent="0.25">
      <c r="A12325" s="4">
        <v>12320</v>
      </c>
      <c r="B12325" s="3" t="str">
        <f>"00699375"</f>
        <v>00699375</v>
      </c>
    </row>
    <row r="12326" spans="1:2" x14ac:dyDescent="0.25">
      <c r="A12326" s="4">
        <v>12321</v>
      </c>
      <c r="B12326" s="3" t="str">
        <f>"00699381"</f>
        <v>00699381</v>
      </c>
    </row>
    <row r="12327" spans="1:2" x14ac:dyDescent="0.25">
      <c r="A12327" s="4">
        <v>12322</v>
      </c>
      <c r="B12327" s="3" t="str">
        <f>"00699389"</f>
        <v>00699389</v>
      </c>
    </row>
    <row r="12328" spans="1:2" x14ac:dyDescent="0.25">
      <c r="A12328" s="4">
        <v>12323</v>
      </c>
      <c r="B12328" s="3" t="str">
        <f>"00699390"</f>
        <v>00699390</v>
      </c>
    </row>
    <row r="12329" spans="1:2" x14ac:dyDescent="0.25">
      <c r="A12329" s="4">
        <v>12324</v>
      </c>
      <c r="B12329" s="3" t="str">
        <f>"00699392"</f>
        <v>00699392</v>
      </c>
    </row>
    <row r="12330" spans="1:2" x14ac:dyDescent="0.25">
      <c r="A12330" s="4">
        <v>12325</v>
      </c>
      <c r="B12330" s="3" t="str">
        <f>"00699397"</f>
        <v>00699397</v>
      </c>
    </row>
    <row r="12331" spans="1:2" x14ac:dyDescent="0.25">
      <c r="A12331" s="4">
        <v>12326</v>
      </c>
      <c r="B12331" s="3" t="str">
        <f>"00699398"</f>
        <v>00699398</v>
      </c>
    </row>
    <row r="12332" spans="1:2" x14ac:dyDescent="0.25">
      <c r="A12332" s="4">
        <v>12327</v>
      </c>
      <c r="B12332" s="3" t="str">
        <f>"00699400"</f>
        <v>00699400</v>
      </c>
    </row>
    <row r="12333" spans="1:2" x14ac:dyDescent="0.25">
      <c r="A12333" s="4">
        <v>12328</v>
      </c>
      <c r="B12333" s="3" t="str">
        <f>"00699404"</f>
        <v>00699404</v>
      </c>
    </row>
    <row r="12334" spans="1:2" x14ac:dyDescent="0.25">
      <c r="A12334" s="4">
        <v>12329</v>
      </c>
      <c r="B12334" s="3" t="str">
        <f>"00699405"</f>
        <v>00699405</v>
      </c>
    </row>
    <row r="12335" spans="1:2" x14ac:dyDescent="0.25">
      <c r="A12335" s="4">
        <v>12330</v>
      </c>
      <c r="B12335" s="3" t="str">
        <f>"00699415"</f>
        <v>00699415</v>
      </c>
    </row>
    <row r="12336" spans="1:2" x14ac:dyDescent="0.25">
      <c r="A12336" s="4">
        <v>12331</v>
      </c>
      <c r="B12336" s="3" t="str">
        <f>"00699417"</f>
        <v>00699417</v>
      </c>
    </row>
    <row r="12337" spans="1:2" x14ac:dyDescent="0.25">
      <c r="A12337" s="4">
        <v>12332</v>
      </c>
      <c r="B12337" s="3" t="str">
        <f>"00699418"</f>
        <v>00699418</v>
      </c>
    </row>
    <row r="12338" spans="1:2" x14ac:dyDescent="0.25">
      <c r="A12338" s="4">
        <v>12333</v>
      </c>
      <c r="B12338" s="3" t="str">
        <f>"00699420"</f>
        <v>00699420</v>
      </c>
    </row>
    <row r="12339" spans="1:2" x14ac:dyDescent="0.25">
      <c r="A12339" s="4">
        <v>12334</v>
      </c>
      <c r="B12339" s="3" t="str">
        <f>"00699424"</f>
        <v>00699424</v>
      </c>
    </row>
    <row r="12340" spans="1:2" x14ac:dyDescent="0.25">
      <c r="A12340" s="4">
        <v>12335</v>
      </c>
      <c r="B12340" s="3" t="str">
        <f>"00699428"</f>
        <v>00699428</v>
      </c>
    </row>
    <row r="12341" spans="1:2" x14ac:dyDescent="0.25">
      <c r="A12341" s="4">
        <v>12336</v>
      </c>
      <c r="B12341" s="3" t="str">
        <f>"00699433"</f>
        <v>00699433</v>
      </c>
    </row>
    <row r="12342" spans="1:2" x14ac:dyDescent="0.25">
      <c r="A12342" s="4">
        <v>12337</v>
      </c>
      <c r="B12342" s="3" t="str">
        <f>"00699438"</f>
        <v>00699438</v>
      </c>
    </row>
    <row r="12343" spans="1:2" x14ac:dyDescent="0.25">
      <c r="A12343" s="4">
        <v>12338</v>
      </c>
      <c r="B12343" s="3" t="str">
        <f>"00699444"</f>
        <v>00699444</v>
      </c>
    </row>
    <row r="12344" spans="1:2" x14ac:dyDescent="0.25">
      <c r="A12344" s="4">
        <v>12339</v>
      </c>
      <c r="B12344" s="3" t="str">
        <f>"00699458"</f>
        <v>00699458</v>
      </c>
    </row>
    <row r="12345" spans="1:2" x14ac:dyDescent="0.25">
      <c r="A12345" s="4">
        <v>12340</v>
      </c>
      <c r="B12345" s="3" t="str">
        <f>"00699461"</f>
        <v>00699461</v>
      </c>
    </row>
    <row r="12346" spans="1:2" x14ac:dyDescent="0.25">
      <c r="A12346" s="4">
        <v>12341</v>
      </c>
      <c r="B12346" s="3" t="str">
        <f>"00699474"</f>
        <v>00699474</v>
      </c>
    </row>
    <row r="12347" spans="1:2" x14ac:dyDescent="0.25">
      <c r="A12347" s="4">
        <v>12342</v>
      </c>
      <c r="B12347" s="3" t="str">
        <f>"00699476"</f>
        <v>00699476</v>
      </c>
    </row>
    <row r="12348" spans="1:2" x14ac:dyDescent="0.25">
      <c r="A12348" s="4">
        <v>12343</v>
      </c>
      <c r="B12348" s="3" t="str">
        <f>"00699486"</f>
        <v>00699486</v>
      </c>
    </row>
    <row r="12349" spans="1:2" x14ac:dyDescent="0.25">
      <c r="A12349" s="4">
        <v>12344</v>
      </c>
      <c r="B12349" s="3" t="str">
        <f>"00699490"</f>
        <v>00699490</v>
      </c>
    </row>
    <row r="12350" spans="1:2" x14ac:dyDescent="0.25">
      <c r="A12350" s="4">
        <v>12345</v>
      </c>
      <c r="B12350" s="3" t="str">
        <f>"00699493"</f>
        <v>00699493</v>
      </c>
    </row>
    <row r="12351" spans="1:2" x14ac:dyDescent="0.25">
      <c r="A12351" s="4">
        <v>12346</v>
      </c>
      <c r="B12351" s="3" t="str">
        <f>"00699494"</f>
        <v>00699494</v>
      </c>
    </row>
    <row r="12352" spans="1:2" x14ac:dyDescent="0.25">
      <c r="A12352" s="4">
        <v>12347</v>
      </c>
      <c r="B12352" s="3" t="str">
        <f>"00699527"</f>
        <v>00699527</v>
      </c>
    </row>
    <row r="12353" spans="1:2" x14ac:dyDescent="0.25">
      <c r="A12353" s="4">
        <v>12348</v>
      </c>
      <c r="B12353" s="3" t="str">
        <f>"00699532"</f>
        <v>00699532</v>
      </c>
    </row>
    <row r="12354" spans="1:2" x14ac:dyDescent="0.25">
      <c r="A12354" s="4">
        <v>12349</v>
      </c>
      <c r="B12354" s="3" t="str">
        <f>"00699533"</f>
        <v>00699533</v>
      </c>
    </row>
    <row r="12355" spans="1:2" x14ac:dyDescent="0.25">
      <c r="A12355" s="4">
        <v>12350</v>
      </c>
      <c r="B12355" s="3" t="str">
        <f>"00699556"</f>
        <v>00699556</v>
      </c>
    </row>
    <row r="12356" spans="1:2" x14ac:dyDescent="0.25">
      <c r="A12356" s="4">
        <v>12351</v>
      </c>
      <c r="B12356" s="3" t="str">
        <f>"00699581"</f>
        <v>00699581</v>
      </c>
    </row>
    <row r="12357" spans="1:2" x14ac:dyDescent="0.25">
      <c r="A12357" s="4">
        <v>12352</v>
      </c>
      <c r="B12357" s="3" t="str">
        <f>"00699582"</f>
        <v>00699582</v>
      </c>
    </row>
    <row r="12358" spans="1:2" x14ac:dyDescent="0.25">
      <c r="A12358" s="4">
        <v>12353</v>
      </c>
      <c r="B12358" s="3" t="str">
        <f>"00699587"</f>
        <v>00699587</v>
      </c>
    </row>
    <row r="12359" spans="1:2" x14ac:dyDescent="0.25">
      <c r="A12359" s="4">
        <v>12354</v>
      </c>
      <c r="B12359" s="3" t="str">
        <f>"00699590"</f>
        <v>00699590</v>
      </c>
    </row>
    <row r="12360" spans="1:2" x14ac:dyDescent="0.25">
      <c r="A12360" s="4">
        <v>12355</v>
      </c>
      <c r="B12360" s="3" t="str">
        <f>"00699610"</f>
        <v>00699610</v>
      </c>
    </row>
    <row r="12361" spans="1:2" x14ac:dyDescent="0.25">
      <c r="A12361" s="4">
        <v>12356</v>
      </c>
      <c r="B12361" s="3" t="str">
        <f>"00699614"</f>
        <v>00699614</v>
      </c>
    </row>
    <row r="12362" spans="1:2" x14ac:dyDescent="0.25">
      <c r="A12362" s="4">
        <v>12357</v>
      </c>
      <c r="B12362" s="3" t="str">
        <f>"00699617"</f>
        <v>00699617</v>
      </c>
    </row>
    <row r="12363" spans="1:2" x14ac:dyDescent="0.25">
      <c r="A12363" s="4">
        <v>12358</v>
      </c>
      <c r="B12363" s="3" t="str">
        <f>"00699624"</f>
        <v>00699624</v>
      </c>
    </row>
    <row r="12364" spans="1:2" x14ac:dyDescent="0.25">
      <c r="A12364" s="4">
        <v>12359</v>
      </c>
      <c r="B12364" s="3" t="str">
        <f>"00699626"</f>
        <v>00699626</v>
      </c>
    </row>
    <row r="12365" spans="1:2" x14ac:dyDescent="0.25">
      <c r="A12365" s="4">
        <v>12360</v>
      </c>
      <c r="B12365" s="3" t="str">
        <f>"00699634"</f>
        <v>00699634</v>
      </c>
    </row>
    <row r="12366" spans="1:2" x14ac:dyDescent="0.25">
      <c r="A12366" s="4">
        <v>12361</v>
      </c>
      <c r="B12366" s="3" t="str">
        <f>"00699644"</f>
        <v>00699644</v>
      </c>
    </row>
    <row r="12367" spans="1:2" x14ac:dyDescent="0.25">
      <c r="A12367" s="4">
        <v>12362</v>
      </c>
      <c r="B12367" s="3" t="str">
        <f>"00699652"</f>
        <v>00699652</v>
      </c>
    </row>
    <row r="12368" spans="1:2" x14ac:dyDescent="0.25">
      <c r="A12368" s="4">
        <v>12363</v>
      </c>
      <c r="B12368" s="3" t="str">
        <f>"00699666"</f>
        <v>00699666</v>
      </c>
    </row>
    <row r="12369" spans="1:2" x14ac:dyDescent="0.25">
      <c r="A12369" s="4">
        <v>12364</v>
      </c>
      <c r="B12369" s="3" t="str">
        <f>"00699667"</f>
        <v>00699667</v>
      </c>
    </row>
    <row r="12370" spans="1:2" x14ac:dyDescent="0.25">
      <c r="A12370" s="4">
        <v>12365</v>
      </c>
      <c r="B12370" s="3" t="str">
        <f>"00699690"</f>
        <v>00699690</v>
      </c>
    </row>
    <row r="12371" spans="1:2" x14ac:dyDescent="0.25">
      <c r="A12371" s="4">
        <v>12366</v>
      </c>
      <c r="B12371" s="3" t="str">
        <f>"00699706"</f>
        <v>00699706</v>
      </c>
    </row>
    <row r="12372" spans="1:2" x14ac:dyDescent="0.25">
      <c r="A12372" s="4">
        <v>12367</v>
      </c>
      <c r="B12372" s="3" t="str">
        <f>"00699710"</f>
        <v>00699710</v>
      </c>
    </row>
    <row r="12373" spans="1:2" x14ac:dyDescent="0.25">
      <c r="A12373" s="4">
        <v>12368</v>
      </c>
      <c r="B12373" s="3" t="str">
        <f>"00699718"</f>
        <v>00699718</v>
      </c>
    </row>
    <row r="12374" spans="1:2" x14ac:dyDescent="0.25">
      <c r="A12374" s="4">
        <v>12369</v>
      </c>
      <c r="B12374" s="3" t="str">
        <f>"00699721"</f>
        <v>00699721</v>
      </c>
    </row>
    <row r="12375" spans="1:2" x14ac:dyDescent="0.25">
      <c r="A12375" s="4">
        <v>12370</v>
      </c>
      <c r="B12375" s="3" t="str">
        <f>"00699727"</f>
        <v>00699727</v>
      </c>
    </row>
    <row r="12376" spans="1:2" x14ac:dyDescent="0.25">
      <c r="A12376" s="4">
        <v>12371</v>
      </c>
      <c r="B12376" s="3" t="str">
        <f>"00699732"</f>
        <v>00699732</v>
      </c>
    </row>
    <row r="12377" spans="1:2" x14ac:dyDescent="0.25">
      <c r="A12377" s="4">
        <v>12372</v>
      </c>
      <c r="B12377" s="3" t="str">
        <f>"00699736"</f>
        <v>00699736</v>
      </c>
    </row>
    <row r="12378" spans="1:2" x14ac:dyDescent="0.25">
      <c r="A12378" s="4">
        <v>12373</v>
      </c>
      <c r="B12378" s="3" t="str">
        <f>"00699738"</f>
        <v>00699738</v>
      </c>
    </row>
    <row r="12379" spans="1:2" x14ac:dyDescent="0.25">
      <c r="A12379" s="4">
        <v>12374</v>
      </c>
      <c r="B12379" s="3" t="str">
        <f>"00699759"</f>
        <v>00699759</v>
      </c>
    </row>
    <row r="12380" spans="1:2" x14ac:dyDescent="0.25">
      <c r="A12380" s="4">
        <v>12375</v>
      </c>
      <c r="B12380" s="3" t="str">
        <f>"00699760"</f>
        <v>00699760</v>
      </c>
    </row>
    <row r="12381" spans="1:2" x14ac:dyDescent="0.25">
      <c r="A12381" s="4">
        <v>12376</v>
      </c>
      <c r="B12381" s="3" t="str">
        <f>"00699768"</f>
        <v>00699768</v>
      </c>
    </row>
    <row r="12382" spans="1:2" x14ac:dyDescent="0.25">
      <c r="A12382" s="4">
        <v>12377</v>
      </c>
      <c r="B12382" s="3" t="str">
        <f>"00699772"</f>
        <v>00699772</v>
      </c>
    </row>
    <row r="12383" spans="1:2" x14ac:dyDescent="0.25">
      <c r="A12383" s="4">
        <v>12378</v>
      </c>
      <c r="B12383" s="3" t="str">
        <f>"00699794"</f>
        <v>00699794</v>
      </c>
    </row>
    <row r="12384" spans="1:2" x14ac:dyDescent="0.25">
      <c r="A12384" s="4">
        <v>12379</v>
      </c>
      <c r="B12384" s="3" t="str">
        <f>"00699802"</f>
        <v>00699802</v>
      </c>
    </row>
    <row r="12385" spans="1:2" x14ac:dyDescent="0.25">
      <c r="A12385" s="4">
        <v>12380</v>
      </c>
      <c r="B12385" s="3" t="str">
        <f>"00699823"</f>
        <v>00699823</v>
      </c>
    </row>
    <row r="12386" spans="1:2" x14ac:dyDescent="0.25">
      <c r="A12386" s="4">
        <v>12381</v>
      </c>
      <c r="B12386" s="3" t="str">
        <f>"00699824"</f>
        <v>00699824</v>
      </c>
    </row>
    <row r="12387" spans="1:2" x14ac:dyDescent="0.25">
      <c r="A12387" s="4">
        <v>12382</v>
      </c>
      <c r="B12387" s="3" t="str">
        <f>"00699837"</f>
        <v>00699837</v>
      </c>
    </row>
    <row r="12388" spans="1:2" x14ac:dyDescent="0.25">
      <c r="A12388" s="4">
        <v>12383</v>
      </c>
      <c r="B12388" s="3" t="str">
        <f>"00699868"</f>
        <v>00699868</v>
      </c>
    </row>
    <row r="12389" spans="1:2" x14ac:dyDescent="0.25">
      <c r="A12389" s="4">
        <v>12384</v>
      </c>
      <c r="B12389" s="3" t="str">
        <f>"00699880"</f>
        <v>00699880</v>
      </c>
    </row>
    <row r="12390" spans="1:2" x14ac:dyDescent="0.25">
      <c r="A12390" s="4">
        <v>12385</v>
      </c>
      <c r="B12390" s="3" t="str">
        <f>"00699889"</f>
        <v>00699889</v>
      </c>
    </row>
    <row r="12391" spans="1:2" x14ac:dyDescent="0.25">
      <c r="A12391" s="4">
        <v>12386</v>
      </c>
      <c r="B12391" s="3" t="str">
        <f>"00699893"</f>
        <v>00699893</v>
      </c>
    </row>
    <row r="12392" spans="1:2" x14ac:dyDescent="0.25">
      <c r="A12392" s="4">
        <v>12387</v>
      </c>
      <c r="B12392" s="3" t="str">
        <f>"00699894"</f>
        <v>00699894</v>
      </c>
    </row>
    <row r="12393" spans="1:2" x14ac:dyDescent="0.25">
      <c r="A12393" s="4">
        <v>12388</v>
      </c>
      <c r="B12393" s="3" t="str">
        <f>"00699906"</f>
        <v>00699906</v>
      </c>
    </row>
    <row r="12394" spans="1:2" x14ac:dyDescent="0.25">
      <c r="A12394" s="4">
        <v>12389</v>
      </c>
      <c r="B12394" s="3" t="str">
        <f>"00699910"</f>
        <v>00699910</v>
      </c>
    </row>
    <row r="12395" spans="1:2" x14ac:dyDescent="0.25">
      <c r="A12395" s="4">
        <v>12390</v>
      </c>
      <c r="B12395" s="3" t="str">
        <f>"00699912"</f>
        <v>00699912</v>
      </c>
    </row>
    <row r="12396" spans="1:2" x14ac:dyDescent="0.25">
      <c r="A12396" s="4">
        <v>12391</v>
      </c>
      <c r="B12396" s="3" t="str">
        <f>"00699930"</f>
        <v>00699930</v>
      </c>
    </row>
    <row r="12397" spans="1:2" x14ac:dyDescent="0.25">
      <c r="A12397" s="4">
        <v>12392</v>
      </c>
      <c r="B12397" s="3" t="str">
        <f>"00699934"</f>
        <v>00699934</v>
      </c>
    </row>
    <row r="12398" spans="1:2" x14ac:dyDescent="0.25">
      <c r="A12398" s="4">
        <v>12393</v>
      </c>
      <c r="B12398" s="3" t="str">
        <f>"00699939"</f>
        <v>00699939</v>
      </c>
    </row>
    <row r="12399" spans="1:2" x14ac:dyDescent="0.25">
      <c r="A12399" s="4">
        <v>12394</v>
      </c>
      <c r="B12399" s="3" t="str">
        <f>"00699963"</f>
        <v>00699963</v>
      </c>
    </row>
    <row r="12400" spans="1:2" x14ac:dyDescent="0.25">
      <c r="A12400" s="4">
        <v>12395</v>
      </c>
      <c r="B12400" s="3" t="str">
        <f>"00699968"</f>
        <v>00699968</v>
      </c>
    </row>
    <row r="12401" spans="1:2" x14ac:dyDescent="0.25">
      <c r="A12401" s="4">
        <v>12396</v>
      </c>
      <c r="B12401" s="3" t="str">
        <f>"00699978"</f>
        <v>00699978</v>
      </c>
    </row>
    <row r="12402" spans="1:2" x14ac:dyDescent="0.25">
      <c r="A12402" s="4">
        <v>12397</v>
      </c>
      <c r="B12402" s="3" t="str">
        <f>"00699984"</f>
        <v>00699984</v>
      </c>
    </row>
    <row r="12403" spans="1:2" x14ac:dyDescent="0.25">
      <c r="A12403" s="4">
        <v>12398</v>
      </c>
      <c r="B12403" s="3" t="str">
        <f>"00699990"</f>
        <v>00699990</v>
      </c>
    </row>
    <row r="12404" spans="1:2" x14ac:dyDescent="0.25">
      <c r="A12404" s="4">
        <v>12399</v>
      </c>
      <c r="B12404" s="3" t="str">
        <f>"00699991"</f>
        <v>00699991</v>
      </c>
    </row>
    <row r="12405" spans="1:2" x14ac:dyDescent="0.25">
      <c r="A12405" s="4">
        <v>12400</v>
      </c>
      <c r="B12405" s="3" t="str">
        <f>"00700001"</f>
        <v>00700001</v>
      </c>
    </row>
    <row r="12406" spans="1:2" x14ac:dyDescent="0.25">
      <c r="A12406" s="4">
        <v>12401</v>
      </c>
      <c r="B12406" s="3" t="str">
        <f>"00700005"</f>
        <v>00700005</v>
      </c>
    </row>
    <row r="12407" spans="1:2" x14ac:dyDescent="0.25">
      <c r="A12407" s="4">
        <v>12402</v>
      </c>
      <c r="B12407" s="3" t="str">
        <f>"00700008"</f>
        <v>00700008</v>
      </c>
    </row>
    <row r="12408" spans="1:2" x14ac:dyDescent="0.25">
      <c r="A12408" s="4">
        <v>12403</v>
      </c>
      <c r="B12408" s="3" t="str">
        <f>"00700036"</f>
        <v>00700036</v>
      </c>
    </row>
    <row r="12409" spans="1:2" x14ac:dyDescent="0.25">
      <c r="A12409" s="4">
        <v>12404</v>
      </c>
      <c r="B12409" s="3" t="str">
        <f>"00700039"</f>
        <v>00700039</v>
      </c>
    </row>
    <row r="12410" spans="1:2" x14ac:dyDescent="0.25">
      <c r="A12410" s="4">
        <v>12405</v>
      </c>
      <c r="B12410" s="3" t="str">
        <f>"00700043"</f>
        <v>00700043</v>
      </c>
    </row>
    <row r="12411" spans="1:2" x14ac:dyDescent="0.25">
      <c r="A12411" s="4">
        <v>12406</v>
      </c>
      <c r="B12411" s="3" t="str">
        <f>"00700064"</f>
        <v>00700064</v>
      </c>
    </row>
    <row r="12412" spans="1:2" x14ac:dyDescent="0.25">
      <c r="A12412" s="4">
        <v>12407</v>
      </c>
      <c r="B12412" s="3" t="str">
        <f>"00700071"</f>
        <v>00700071</v>
      </c>
    </row>
    <row r="12413" spans="1:2" x14ac:dyDescent="0.25">
      <c r="A12413" s="4">
        <v>12408</v>
      </c>
      <c r="B12413" s="3" t="str">
        <f>"00700075"</f>
        <v>00700075</v>
      </c>
    </row>
    <row r="12414" spans="1:2" x14ac:dyDescent="0.25">
      <c r="A12414" s="4">
        <v>12409</v>
      </c>
      <c r="B12414" s="3" t="str">
        <f>"00700082"</f>
        <v>00700082</v>
      </c>
    </row>
    <row r="12415" spans="1:2" x14ac:dyDescent="0.25">
      <c r="A12415" s="4">
        <v>12410</v>
      </c>
      <c r="B12415" s="3" t="str">
        <f>"00700085"</f>
        <v>00700085</v>
      </c>
    </row>
    <row r="12416" spans="1:2" x14ac:dyDescent="0.25">
      <c r="A12416" s="4">
        <v>12411</v>
      </c>
      <c r="B12416" s="3" t="str">
        <f>"00700111"</f>
        <v>00700111</v>
      </c>
    </row>
    <row r="12417" spans="1:2" x14ac:dyDescent="0.25">
      <c r="A12417" s="4">
        <v>12412</v>
      </c>
      <c r="B12417" s="3" t="str">
        <f>"00700112"</f>
        <v>00700112</v>
      </c>
    </row>
    <row r="12418" spans="1:2" x14ac:dyDescent="0.25">
      <c r="A12418" s="4">
        <v>12413</v>
      </c>
      <c r="B12418" s="3" t="str">
        <f>"00700113"</f>
        <v>00700113</v>
      </c>
    </row>
    <row r="12419" spans="1:2" x14ac:dyDescent="0.25">
      <c r="A12419" s="4">
        <v>12414</v>
      </c>
      <c r="B12419" s="3" t="str">
        <f>"00700124"</f>
        <v>00700124</v>
      </c>
    </row>
    <row r="12420" spans="1:2" x14ac:dyDescent="0.25">
      <c r="A12420" s="4">
        <v>12415</v>
      </c>
      <c r="B12420" s="3" t="str">
        <f>"00700125"</f>
        <v>00700125</v>
      </c>
    </row>
    <row r="12421" spans="1:2" x14ac:dyDescent="0.25">
      <c r="A12421" s="4">
        <v>12416</v>
      </c>
      <c r="B12421" s="3" t="str">
        <f>"00700128"</f>
        <v>00700128</v>
      </c>
    </row>
    <row r="12422" spans="1:2" x14ac:dyDescent="0.25">
      <c r="A12422" s="4">
        <v>12417</v>
      </c>
      <c r="B12422" s="3" t="str">
        <f>"00700228"</f>
        <v>00700228</v>
      </c>
    </row>
    <row r="12423" spans="1:2" x14ac:dyDescent="0.25">
      <c r="A12423" s="4">
        <v>12418</v>
      </c>
      <c r="B12423" s="3" t="str">
        <f>"00700295"</f>
        <v>00700295</v>
      </c>
    </row>
    <row r="12424" spans="1:2" x14ac:dyDescent="0.25">
      <c r="A12424" s="4">
        <v>12419</v>
      </c>
      <c r="B12424" s="3" t="str">
        <f>"00700304"</f>
        <v>00700304</v>
      </c>
    </row>
    <row r="12425" spans="1:2" x14ac:dyDescent="0.25">
      <c r="A12425" s="4">
        <v>12420</v>
      </c>
      <c r="B12425" s="3" t="str">
        <f>"00700305"</f>
        <v>00700305</v>
      </c>
    </row>
    <row r="12426" spans="1:2" x14ac:dyDescent="0.25">
      <c r="A12426" s="4">
        <v>12421</v>
      </c>
      <c r="B12426" s="3" t="str">
        <f>"00700308"</f>
        <v>00700308</v>
      </c>
    </row>
    <row r="12427" spans="1:2" x14ac:dyDescent="0.25">
      <c r="A12427" s="4">
        <v>12422</v>
      </c>
      <c r="B12427" s="3" t="str">
        <f>"00700317"</f>
        <v>00700317</v>
      </c>
    </row>
    <row r="12428" spans="1:2" x14ac:dyDescent="0.25">
      <c r="A12428" s="4">
        <v>12423</v>
      </c>
      <c r="B12428" s="3" t="str">
        <f>"00700332"</f>
        <v>00700332</v>
      </c>
    </row>
    <row r="12429" spans="1:2" x14ac:dyDescent="0.25">
      <c r="A12429" s="4">
        <v>12424</v>
      </c>
      <c r="B12429" s="3" t="str">
        <f>"00700333"</f>
        <v>00700333</v>
      </c>
    </row>
    <row r="12430" spans="1:2" x14ac:dyDescent="0.25">
      <c r="A12430" s="4">
        <v>12425</v>
      </c>
      <c r="B12430" s="3" t="str">
        <f>"00700336"</f>
        <v>00700336</v>
      </c>
    </row>
    <row r="12431" spans="1:2" x14ac:dyDescent="0.25">
      <c r="A12431" s="4">
        <v>12426</v>
      </c>
      <c r="B12431" s="3" t="str">
        <f>"00700340"</f>
        <v>00700340</v>
      </c>
    </row>
    <row r="12432" spans="1:2" x14ac:dyDescent="0.25">
      <c r="A12432" s="4">
        <v>12427</v>
      </c>
      <c r="B12432" s="3" t="str">
        <f>"00700345"</f>
        <v>00700345</v>
      </c>
    </row>
    <row r="12433" spans="1:2" x14ac:dyDescent="0.25">
      <c r="A12433" s="4">
        <v>12428</v>
      </c>
      <c r="B12433" s="3" t="str">
        <f>"00700348"</f>
        <v>00700348</v>
      </c>
    </row>
    <row r="12434" spans="1:2" x14ac:dyDescent="0.25">
      <c r="A12434" s="4">
        <v>12429</v>
      </c>
      <c r="B12434" s="3" t="str">
        <f>"00700354"</f>
        <v>00700354</v>
      </c>
    </row>
    <row r="12435" spans="1:2" x14ac:dyDescent="0.25">
      <c r="A12435" s="4">
        <v>12430</v>
      </c>
      <c r="B12435" s="3" t="str">
        <f>"00700360"</f>
        <v>00700360</v>
      </c>
    </row>
    <row r="12436" spans="1:2" x14ac:dyDescent="0.25">
      <c r="A12436" s="4">
        <v>12431</v>
      </c>
      <c r="B12436" s="3" t="str">
        <f>"00700363"</f>
        <v>00700363</v>
      </c>
    </row>
    <row r="12437" spans="1:2" x14ac:dyDescent="0.25">
      <c r="A12437" s="4">
        <v>12432</v>
      </c>
      <c r="B12437" s="3" t="str">
        <f>"00700384"</f>
        <v>00700384</v>
      </c>
    </row>
    <row r="12438" spans="1:2" x14ac:dyDescent="0.25">
      <c r="A12438" s="4">
        <v>12433</v>
      </c>
      <c r="B12438" s="3" t="str">
        <f>"00700391"</f>
        <v>00700391</v>
      </c>
    </row>
    <row r="12439" spans="1:2" x14ac:dyDescent="0.25">
      <c r="A12439" s="4">
        <v>12434</v>
      </c>
      <c r="B12439" s="3" t="str">
        <f>"00700393"</f>
        <v>00700393</v>
      </c>
    </row>
    <row r="12440" spans="1:2" x14ac:dyDescent="0.25">
      <c r="A12440" s="4">
        <v>12435</v>
      </c>
      <c r="B12440" s="3" t="str">
        <f>"00700394"</f>
        <v>00700394</v>
      </c>
    </row>
    <row r="12441" spans="1:2" x14ac:dyDescent="0.25">
      <c r="A12441" s="4">
        <v>12436</v>
      </c>
      <c r="B12441" s="3" t="str">
        <f>"00700404"</f>
        <v>00700404</v>
      </c>
    </row>
    <row r="12442" spans="1:2" x14ac:dyDescent="0.25">
      <c r="A12442" s="4">
        <v>12437</v>
      </c>
      <c r="B12442" s="3" t="str">
        <f>"00700405"</f>
        <v>00700405</v>
      </c>
    </row>
    <row r="12443" spans="1:2" x14ac:dyDescent="0.25">
      <c r="A12443" s="4">
        <v>12438</v>
      </c>
      <c r="B12443" s="3" t="str">
        <f>"00700406"</f>
        <v>00700406</v>
      </c>
    </row>
    <row r="12444" spans="1:2" x14ac:dyDescent="0.25">
      <c r="A12444" s="4">
        <v>12439</v>
      </c>
      <c r="B12444" s="3" t="str">
        <f>"00700409"</f>
        <v>00700409</v>
      </c>
    </row>
    <row r="12445" spans="1:2" x14ac:dyDescent="0.25">
      <c r="A12445" s="4">
        <v>12440</v>
      </c>
      <c r="B12445" s="3" t="str">
        <f>"00700418"</f>
        <v>00700418</v>
      </c>
    </row>
    <row r="12446" spans="1:2" x14ac:dyDescent="0.25">
      <c r="A12446" s="4">
        <v>12441</v>
      </c>
      <c r="B12446" s="3" t="str">
        <f>"00700421"</f>
        <v>00700421</v>
      </c>
    </row>
    <row r="12447" spans="1:2" x14ac:dyDescent="0.25">
      <c r="A12447" s="4">
        <v>12442</v>
      </c>
      <c r="B12447" s="3" t="str">
        <f>"00700428"</f>
        <v>00700428</v>
      </c>
    </row>
    <row r="12448" spans="1:2" x14ac:dyDescent="0.25">
      <c r="A12448" s="4">
        <v>12443</v>
      </c>
      <c r="B12448" s="3" t="str">
        <f>"00700429"</f>
        <v>00700429</v>
      </c>
    </row>
    <row r="12449" spans="1:2" x14ac:dyDescent="0.25">
      <c r="A12449" s="4">
        <v>12444</v>
      </c>
      <c r="B12449" s="3" t="str">
        <f>"00700432"</f>
        <v>00700432</v>
      </c>
    </row>
    <row r="12450" spans="1:2" x14ac:dyDescent="0.25">
      <c r="A12450" s="4">
        <v>12445</v>
      </c>
      <c r="B12450" s="3" t="str">
        <f>"00700435"</f>
        <v>00700435</v>
      </c>
    </row>
    <row r="12451" spans="1:2" x14ac:dyDescent="0.25">
      <c r="A12451" s="4">
        <v>12446</v>
      </c>
      <c r="B12451" s="3" t="str">
        <f>"00700439"</f>
        <v>00700439</v>
      </c>
    </row>
    <row r="12452" spans="1:2" x14ac:dyDescent="0.25">
      <c r="A12452" s="4">
        <v>12447</v>
      </c>
      <c r="B12452" s="3" t="str">
        <f>"00700445"</f>
        <v>00700445</v>
      </c>
    </row>
    <row r="12453" spans="1:2" x14ac:dyDescent="0.25">
      <c r="A12453" s="4">
        <v>12448</v>
      </c>
      <c r="B12453" s="3" t="str">
        <f>"00700456"</f>
        <v>00700456</v>
      </c>
    </row>
    <row r="12454" spans="1:2" x14ac:dyDescent="0.25">
      <c r="A12454" s="4">
        <v>12449</v>
      </c>
      <c r="B12454" s="3" t="str">
        <f>"00700458"</f>
        <v>00700458</v>
      </c>
    </row>
    <row r="12455" spans="1:2" x14ac:dyDescent="0.25">
      <c r="A12455" s="4">
        <v>12450</v>
      </c>
      <c r="B12455" s="3" t="str">
        <f>"00700459"</f>
        <v>00700459</v>
      </c>
    </row>
    <row r="12456" spans="1:2" x14ac:dyDescent="0.25">
      <c r="A12456" s="4">
        <v>12451</v>
      </c>
      <c r="B12456" s="3" t="str">
        <f>"00700461"</f>
        <v>00700461</v>
      </c>
    </row>
    <row r="12457" spans="1:2" x14ac:dyDescent="0.25">
      <c r="A12457" s="4">
        <v>12452</v>
      </c>
      <c r="B12457" s="3" t="str">
        <f>"00700484"</f>
        <v>00700484</v>
      </c>
    </row>
    <row r="12458" spans="1:2" x14ac:dyDescent="0.25">
      <c r="A12458" s="4">
        <v>12453</v>
      </c>
      <c r="B12458" s="3" t="str">
        <f>"00700491"</f>
        <v>00700491</v>
      </c>
    </row>
    <row r="12459" spans="1:2" x14ac:dyDescent="0.25">
      <c r="A12459" s="4">
        <v>12454</v>
      </c>
      <c r="B12459" s="3" t="str">
        <f>"00700493"</f>
        <v>00700493</v>
      </c>
    </row>
    <row r="12460" spans="1:2" x14ac:dyDescent="0.25">
      <c r="A12460" s="4">
        <v>12455</v>
      </c>
      <c r="B12460" s="3" t="str">
        <f>"00700495"</f>
        <v>00700495</v>
      </c>
    </row>
    <row r="12461" spans="1:2" x14ac:dyDescent="0.25">
      <c r="A12461" s="4">
        <v>12456</v>
      </c>
      <c r="B12461" s="3" t="str">
        <f>"00700497"</f>
        <v>00700497</v>
      </c>
    </row>
    <row r="12462" spans="1:2" x14ac:dyDescent="0.25">
      <c r="A12462" s="4">
        <v>12457</v>
      </c>
      <c r="B12462" s="3" t="str">
        <f>"00700498"</f>
        <v>00700498</v>
      </c>
    </row>
    <row r="12463" spans="1:2" x14ac:dyDescent="0.25">
      <c r="A12463" s="4">
        <v>12458</v>
      </c>
      <c r="B12463" s="3" t="str">
        <f>"00700507"</f>
        <v>00700507</v>
      </c>
    </row>
    <row r="12464" spans="1:2" x14ac:dyDescent="0.25">
      <c r="A12464" s="4">
        <v>12459</v>
      </c>
      <c r="B12464" s="3" t="str">
        <f>"00700508"</f>
        <v>00700508</v>
      </c>
    </row>
    <row r="12465" spans="1:2" x14ac:dyDescent="0.25">
      <c r="A12465" s="4">
        <v>12460</v>
      </c>
      <c r="B12465" s="3" t="str">
        <f>"00700509"</f>
        <v>00700509</v>
      </c>
    </row>
    <row r="12466" spans="1:2" x14ac:dyDescent="0.25">
      <c r="A12466" s="4">
        <v>12461</v>
      </c>
      <c r="B12466" s="3" t="str">
        <f>"00700516"</f>
        <v>00700516</v>
      </c>
    </row>
    <row r="12467" spans="1:2" x14ac:dyDescent="0.25">
      <c r="A12467" s="4">
        <v>12462</v>
      </c>
      <c r="B12467" s="3" t="str">
        <f>"00700518"</f>
        <v>00700518</v>
      </c>
    </row>
    <row r="12468" spans="1:2" x14ac:dyDescent="0.25">
      <c r="A12468" s="4">
        <v>12463</v>
      </c>
      <c r="B12468" s="3" t="str">
        <f>"00700527"</f>
        <v>00700527</v>
      </c>
    </row>
    <row r="12469" spans="1:2" x14ac:dyDescent="0.25">
      <c r="A12469" s="4">
        <v>12464</v>
      </c>
      <c r="B12469" s="3" t="str">
        <f>"00700531"</f>
        <v>00700531</v>
      </c>
    </row>
    <row r="12470" spans="1:2" x14ac:dyDescent="0.25">
      <c r="A12470" s="4">
        <v>12465</v>
      </c>
      <c r="B12470" s="3" t="str">
        <f>"00700533"</f>
        <v>00700533</v>
      </c>
    </row>
    <row r="12471" spans="1:2" x14ac:dyDescent="0.25">
      <c r="A12471" s="4">
        <v>12466</v>
      </c>
      <c r="B12471" s="3" t="str">
        <f>"00700542"</f>
        <v>00700542</v>
      </c>
    </row>
    <row r="12472" spans="1:2" x14ac:dyDescent="0.25">
      <c r="A12472" s="4">
        <v>12467</v>
      </c>
      <c r="B12472" s="3" t="str">
        <f>"00700546"</f>
        <v>00700546</v>
      </c>
    </row>
    <row r="12473" spans="1:2" x14ac:dyDescent="0.25">
      <c r="A12473" s="4">
        <v>12468</v>
      </c>
      <c r="B12473" s="3" t="str">
        <f>"00700556"</f>
        <v>00700556</v>
      </c>
    </row>
    <row r="12474" spans="1:2" x14ac:dyDescent="0.25">
      <c r="A12474" s="4">
        <v>12469</v>
      </c>
      <c r="B12474" s="3" t="str">
        <f>"00700568"</f>
        <v>00700568</v>
      </c>
    </row>
    <row r="12475" spans="1:2" x14ac:dyDescent="0.25">
      <c r="A12475" s="4">
        <v>12470</v>
      </c>
      <c r="B12475" s="3" t="str">
        <f>"00700573"</f>
        <v>00700573</v>
      </c>
    </row>
    <row r="12476" spans="1:2" x14ac:dyDescent="0.25">
      <c r="A12476" s="4">
        <v>12471</v>
      </c>
      <c r="B12476" s="3" t="str">
        <f>"00700575"</f>
        <v>00700575</v>
      </c>
    </row>
    <row r="12477" spans="1:2" x14ac:dyDescent="0.25">
      <c r="A12477" s="4">
        <v>12472</v>
      </c>
      <c r="B12477" s="3" t="str">
        <f>"00700582"</f>
        <v>00700582</v>
      </c>
    </row>
    <row r="12478" spans="1:2" x14ac:dyDescent="0.25">
      <c r="A12478" s="4">
        <v>12473</v>
      </c>
      <c r="B12478" s="3" t="str">
        <f>"00700587"</f>
        <v>00700587</v>
      </c>
    </row>
    <row r="12479" spans="1:2" x14ac:dyDescent="0.25">
      <c r="A12479" s="4">
        <v>12474</v>
      </c>
      <c r="B12479" s="3" t="str">
        <f>"00700588"</f>
        <v>00700588</v>
      </c>
    </row>
    <row r="12480" spans="1:2" x14ac:dyDescent="0.25">
      <c r="A12480" s="4">
        <v>12475</v>
      </c>
      <c r="B12480" s="3" t="str">
        <f>"00700591"</f>
        <v>00700591</v>
      </c>
    </row>
    <row r="12481" spans="1:2" x14ac:dyDescent="0.25">
      <c r="A12481" s="4">
        <v>12476</v>
      </c>
      <c r="B12481" s="3" t="str">
        <f>"00700601"</f>
        <v>00700601</v>
      </c>
    </row>
    <row r="12482" spans="1:2" x14ac:dyDescent="0.25">
      <c r="A12482" s="4">
        <v>12477</v>
      </c>
      <c r="B12482" s="3" t="str">
        <f>"00700603"</f>
        <v>00700603</v>
      </c>
    </row>
    <row r="12483" spans="1:2" x14ac:dyDescent="0.25">
      <c r="A12483" s="4">
        <v>12478</v>
      </c>
      <c r="B12483" s="3" t="str">
        <f>"00700607"</f>
        <v>00700607</v>
      </c>
    </row>
    <row r="12484" spans="1:2" x14ac:dyDescent="0.25">
      <c r="A12484" s="4">
        <v>12479</v>
      </c>
      <c r="B12484" s="3" t="str">
        <f>"00700613"</f>
        <v>00700613</v>
      </c>
    </row>
    <row r="12485" spans="1:2" x14ac:dyDescent="0.25">
      <c r="A12485" s="4">
        <v>12480</v>
      </c>
      <c r="B12485" s="3" t="str">
        <f>"00700627"</f>
        <v>00700627</v>
      </c>
    </row>
    <row r="12486" spans="1:2" x14ac:dyDescent="0.25">
      <c r="A12486" s="4">
        <v>12481</v>
      </c>
      <c r="B12486" s="3" t="str">
        <f>"00700649"</f>
        <v>00700649</v>
      </c>
    </row>
    <row r="12487" spans="1:2" x14ac:dyDescent="0.25">
      <c r="A12487" s="4">
        <v>12482</v>
      </c>
      <c r="B12487" s="3" t="str">
        <f>"00700653"</f>
        <v>00700653</v>
      </c>
    </row>
    <row r="12488" spans="1:2" x14ac:dyDescent="0.25">
      <c r="A12488" s="4">
        <v>12483</v>
      </c>
      <c r="B12488" s="3" t="str">
        <f>"00700656"</f>
        <v>00700656</v>
      </c>
    </row>
    <row r="12489" spans="1:2" x14ac:dyDescent="0.25">
      <c r="A12489" s="4">
        <v>12484</v>
      </c>
      <c r="B12489" s="3" t="str">
        <f>"00700675"</f>
        <v>00700675</v>
      </c>
    </row>
    <row r="12490" spans="1:2" x14ac:dyDescent="0.25">
      <c r="A12490" s="4">
        <v>12485</v>
      </c>
      <c r="B12490" s="3" t="str">
        <f>"00700678"</f>
        <v>00700678</v>
      </c>
    </row>
    <row r="12491" spans="1:2" x14ac:dyDescent="0.25">
      <c r="A12491" s="4">
        <v>12486</v>
      </c>
      <c r="B12491" s="3" t="str">
        <f>"00700686"</f>
        <v>00700686</v>
      </c>
    </row>
    <row r="12492" spans="1:2" x14ac:dyDescent="0.25">
      <c r="A12492" s="4">
        <v>12487</v>
      </c>
      <c r="B12492" s="3" t="str">
        <f>"00700689"</f>
        <v>00700689</v>
      </c>
    </row>
    <row r="12493" spans="1:2" x14ac:dyDescent="0.25">
      <c r="A12493" s="4">
        <v>12488</v>
      </c>
      <c r="B12493" s="3" t="str">
        <f>"00700690"</f>
        <v>00700690</v>
      </c>
    </row>
    <row r="12494" spans="1:2" x14ac:dyDescent="0.25">
      <c r="A12494" s="4">
        <v>12489</v>
      </c>
      <c r="B12494" s="3" t="str">
        <f>"00700694"</f>
        <v>00700694</v>
      </c>
    </row>
    <row r="12495" spans="1:2" x14ac:dyDescent="0.25">
      <c r="A12495" s="4">
        <v>12490</v>
      </c>
      <c r="B12495" s="3" t="str">
        <f>"00700700"</f>
        <v>00700700</v>
      </c>
    </row>
    <row r="12496" spans="1:2" x14ac:dyDescent="0.25">
      <c r="A12496" s="4">
        <v>12491</v>
      </c>
      <c r="B12496" s="3" t="str">
        <f>"00700721"</f>
        <v>00700721</v>
      </c>
    </row>
    <row r="12497" spans="1:2" x14ac:dyDescent="0.25">
      <c r="A12497" s="4">
        <v>12492</v>
      </c>
      <c r="B12497" s="3" t="str">
        <f>"00700725"</f>
        <v>00700725</v>
      </c>
    </row>
    <row r="12498" spans="1:2" x14ac:dyDescent="0.25">
      <c r="A12498" s="4">
        <v>12493</v>
      </c>
      <c r="B12498" s="3" t="str">
        <f>"00700737"</f>
        <v>00700737</v>
      </c>
    </row>
    <row r="12499" spans="1:2" x14ac:dyDescent="0.25">
      <c r="A12499" s="4">
        <v>12494</v>
      </c>
      <c r="B12499" s="3" t="str">
        <f>"00700740"</f>
        <v>00700740</v>
      </c>
    </row>
    <row r="12500" spans="1:2" x14ac:dyDescent="0.25">
      <c r="A12500" s="4">
        <v>12495</v>
      </c>
      <c r="B12500" s="3" t="str">
        <f>"00700741"</f>
        <v>00700741</v>
      </c>
    </row>
    <row r="12501" spans="1:2" x14ac:dyDescent="0.25">
      <c r="A12501" s="4">
        <v>12496</v>
      </c>
      <c r="B12501" s="3" t="str">
        <f>"00700749"</f>
        <v>00700749</v>
      </c>
    </row>
    <row r="12502" spans="1:2" x14ac:dyDescent="0.25">
      <c r="A12502" s="4">
        <v>12497</v>
      </c>
      <c r="B12502" s="3" t="str">
        <f>"00700761"</f>
        <v>00700761</v>
      </c>
    </row>
    <row r="12503" spans="1:2" x14ac:dyDescent="0.25">
      <c r="A12503" s="4">
        <v>12498</v>
      </c>
      <c r="B12503" s="3" t="str">
        <f>"00700775"</f>
        <v>00700775</v>
      </c>
    </row>
    <row r="12504" spans="1:2" x14ac:dyDescent="0.25">
      <c r="A12504" s="4">
        <v>12499</v>
      </c>
      <c r="B12504" s="3" t="str">
        <f>"00700777"</f>
        <v>00700777</v>
      </c>
    </row>
    <row r="12505" spans="1:2" x14ac:dyDescent="0.25">
      <c r="A12505" s="4">
        <v>12500</v>
      </c>
      <c r="B12505" s="3" t="str">
        <f>"00700783"</f>
        <v>00700783</v>
      </c>
    </row>
    <row r="12506" spans="1:2" x14ac:dyDescent="0.25">
      <c r="A12506" s="4">
        <v>12501</v>
      </c>
      <c r="B12506" s="3" t="str">
        <f>"00700785"</f>
        <v>00700785</v>
      </c>
    </row>
    <row r="12507" spans="1:2" x14ac:dyDescent="0.25">
      <c r="A12507" s="4">
        <v>12502</v>
      </c>
      <c r="B12507" s="3" t="str">
        <f>"00700794"</f>
        <v>00700794</v>
      </c>
    </row>
    <row r="12508" spans="1:2" x14ac:dyDescent="0.25">
      <c r="A12508" s="4">
        <v>12503</v>
      </c>
      <c r="B12508" s="3" t="str">
        <f>"00700799"</f>
        <v>00700799</v>
      </c>
    </row>
    <row r="12509" spans="1:2" x14ac:dyDescent="0.25">
      <c r="A12509" s="4">
        <v>12504</v>
      </c>
      <c r="B12509" s="3" t="str">
        <f>"00700815"</f>
        <v>00700815</v>
      </c>
    </row>
    <row r="12510" spans="1:2" x14ac:dyDescent="0.25">
      <c r="A12510" s="4">
        <v>12505</v>
      </c>
      <c r="B12510" s="3" t="str">
        <f>"00700823"</f>
        <v>00700823</v>
      </c>
    </row>
    <row r="12511" spans="1:2" x14ac:dyDescent="0.25">
      <c r="A12511" s="4">
        <v>12506</v>
      </c>
      <c r="B12511" s="3" t="str">
        <f>"00700826"</f>
        <v>00700826</v>
      </c>
    </row>
    <row r="12512" spans="1:2" x14ac:dyDescent="0.25">
      <c r="A12512" s="4">
        <v>12507</v>
      </c>
      <c r="B12512" s="3" t="str">
        <f>"00700842"</f>
        <v>00700842</v>
      </c>
    </row>
    <row r="12513" spans="1:2" x14ac:dyDescent="0.25">
      <c r="A12513" s="4">
        <v>12508</v>
      </c>
      <c r="B12513" s="3" t="str">
        <f>"00700851"</f>
        <v>00700851</v>
      </c>
    </row>
    <row r="12514" spans="1:2" x14ac:dyDescent="0.25">
      <c r="A12514" s="4">
        <v>12509</v>
      </c>
      <c r="B12514" s="3" t="str">
        <f>"00700853"</f>
        <v>00700853</v>
      </c>
    </row>
    <row r="12515" spans="1:2" x14ac:dyDescent="0.25">
      <c r="A12515" s="4">
        <v>12510</v>
      </c>
      <c r="B12515" s="3" t="str">
        <f>"00700856"</f>
        <v>00700856</v>
      </c>
    </row>
    <row r="12516" spans="1:2" x14ac:dyDescent="0.25">
      <c r="A12516" s="4">
        <v>12511</v>
      </c>
      <c r="B12516" s="3" t="str">
        <f>"00700858"</f>
        <v>00700858</v>
      </c>
    </row>
    <row r="12517" spans="1:2" x14ac:dyDescent="0.25">
      <c r="A12517" s="4">
        <v>12512</v>
      </c>
      <c r="B12517" s="3" t="str">
        <f>"00700862"</f>
        <v>00700862</v>
      </c>
    </row>
    <row r="12518" spans="1:2" x14ac:dyDescent="0.25">
      <c r="A12518" s="4">
        <v>12513</v>
      </c>
      <c r="B12518" s="3" t="str">
        <f>"00700864"</f>
        <v>00700864</v>
      </c>
    </row>
    <row r="12519" spans="1:2" x14ac:dyDescent="0.25">
      <c r="A12519" s="4">
        <v>12514</v>
      </c>
      <c r="B12519" s="3" t="str">
        <f>"00700882"</f>
        <v>00700882</v>
      </c>
    </row>
    <row r="12520" spans="1:2" x14ac:dyDescent="0.25">
      <c r="A12520" s="4">
        <v>12515</v>
      </c>
      <c r="B12520" s="3" t="str">
        <f>"00700893"</f>
        <v>00700893</v>
      </c>
    </row>
    <row r="12521" spans="1:2" x14ac:dyDescent="0.25">
      <c r="A12521" s="4">
        <v>12516</v>
      </c>
      <c r="B12521" s="3" t="str">
        <f>"00700894"</f>
        <v>00700894</v>
      </c>
    </row>
    <row r="12522" spans="1:2" x14ac:dyDescent="0.25">
      <c r="A12522" s="4">
        <v>12517</v>
      </c>
      <c r="B12522" s="3" t="str">
        <f>"00700898"</f>
        <v>00700898</v>
      </c>
    </row>
    <row r="12523" spans="1:2" x14ac:dyDescent="0.25">
      <c r="A12523" s="4">
        <v>12518</v>
      </c>
      <c r="B12523" s="3" t="str">
        <f>"00700906"</f>
        <v>00700906</v>
      </c>
    </row>
    <row r="12524" spans="1:2" x14ac:dyDescent="0.25">
      <c r="A12524" s="4">
        <v>12519</v>
      </c>
      <c r="B12524" s="3" t="str">
        <f>"00700909"</f>
        <v>00700909</v>
      </c>
    </row>
    <row r="12525" spans="1:2" x14ac:dyDescent="0.25">
      <c r="A12525" s="4">
        <v>12520</v>
      </c>
      <c r="B12525" s="3" t="str">
        <f>"00700919"</f>
        <v>00700919</v>
      </c>
    </row>
    <row r="12526" spans="1:2" x14ac:dyDescent="0.25">
      <c r="A12526" s="4">
        <v>12521</v>
      </c>
      <c r="B12526" s="3" t="str">
        <f>"00700922"</f>
        <v>00700922</v>
      </c>
    </row>
    <row r="12527" spans="1:2" x14ac:dyDescent="0.25">
      <c r="A12527" s="4">
        <v>12522</v>
      </c>
      <c r="B12527" s="3" t="str">
        <f>"00700925"</f>
        <v>00700925</v>
      </c>
    </row>
    <row r="12528" spans="1:2" x14ac:dyDescent="0.25">
      <c r="A12528" s="4">
        <v>12523</v>
      </c>
      <c r="B12528" s="3" t="str">
        <f>"00700927"</f>
        <v>00700927</v>
      </c>
    </row>
    <row r="12529" spans="1:2" x14ac:dyDescent="0.25">
      <c r="A12529" s="4">
        <v>12524</v>
      </c>
      <c r="B12529" s="3" t="str">
        <f>"00700936"</f>
        <v>00700936</v>
      </c>
    </row>
    <row r="12530" spans="1:2" x14ac:dyDescent="0.25">
      <c r="A12530" s="4">
        <v>12525</v>
      </c>
      <c r="B12530" s="3" t="str">
        <f>"00700968"</f>
        <v>00700968</v>
      </c>
    </row>
    <row r="12531" spans="1:2" x14ac:dyDescent="0.25">
      <c r="A12531" s="4">
        <v>12526</v>
      </c>
      <c r="B12531" s="3" t="str">
        <f>"00700986"</f>
        <v>00700986</v>
      </c>
    </row>
    <row r="12532" spans="1:2" x14ac:dyDescent="0.25">
      <c r="A12532" s="4">
        <v>12527</v>
      </c>
      <c r="B12532" s="3" t="str">
        <f>"00700994"</f>
        <v>00700994</v>
      </c>
    </row>
    <row r="12533" spans="1:2" x14ac:dyDescent="0.25">
      <c r="A12533" s="4">
        <v>12528</v>
      </c>
      <c r="B12533" s="3" t="str">
        <f>"00700995"</f>
        <v>00700995</v>
      </c>
    </row>
    <row r="12534" spans="1:2" x14ac:dyDescent="0.25">
      <c r="A12534" s="4">
        <v>12529</v>
      </c>
      <c r="B12534" s="3" t="str">
        <f>"00701005"</f>
        <v>00701005</v>
      </c>
    </row>
    <row r="12535" spans="1:2" x14ac:dyDescent="0.25">
      <c r="A12535" s="4">
        <v>12530</v>
      </c>
      <c r="B12535" s="3" t="str">
        <f>"00701046"</f>
        <v>00701046</v>
      </c>
    </row>
    <row r="12536" spans="1:2" x14ac:dyDescent="0.25">
      <c r="A12536" s="4">
        <v>12531</v>
      </c>
      <c r="B12536" s="3" t="str">
        <f>"00701050"</f>
        <v>00701050</v>
      </c>
    </row>
    <row r="12537" spans="1:2" x14ac:dyDescent="0.25">
      <c r="A12537" s="4">
        <v>12532</v>
      </c>
      <c r="B12537" s="3" t="str">
        <f>"00701053"</f>
        <v>00701053</v>
      </c>
    </row>
    <row r="12538" spans="1:2" x14ac:dyDescent="0.25">
      <c r="A12538" s="4">
        <v>12533</v>
      </c>
      <c r="B12538" s="3" t="str">
        <f>"00701057"</f>
        <v>00701057</v>
      </c>
    </row>
    <row r="12539" spans="1:2" x14ac:dyDescent="0.25">
      <c r="A12539" s="4">
        <v>12534</v>
      </c>
      <c r="B12539" s="3" t="str">
        <f>"00701058"</f>
        <v>00701058</v>
      </c>
    </row>
    <row r="12540" spans="1:2" x14ac:dyDescent="0.25">
      <c r="A12540" s="4">
        <v>12535</v>
      </c>
      <c r="B12540" s="3" t="str">
        <f>"00701074"</f>
        <v>00701074</v>
      </c>
    </row>
    <row r="12541" spans="1:2" x14ac:dyDescent="0.25">
      <c r="A12541" s="4">
        <v>12536</v>
      </c>
      <c r="B12541" s="3" t="str">
        <f>"00701075"</f>
        <v>00701075</v>
      </c>
    </row>
    <row r="12542" spans="1:2" x14ac:dyDescent="0.25">
      <c r="A12542" s="4">
        <v>12537</v>
      </c>
      <c r="B12542" s="3" t="str">
        <f>"00701081"</f>
        <v>00701081</v>
      </c>
    </row>
    <row r="12543" spans="1:2" x14ac:dyDescent="0.25">
      <c r="A12543" s="4">
        <v>12538</v>
      </c>
      <c r="B12543" s="3" t="str">
        <f>"00701083"</f>
        <v>00701083</v>
      </c>
    </row>
    <row r="12544" spans="1:2" x14ac:dyDescent="0.25">
      <c r="A12544" s="4">
        <v>12539</v>
      </c>
      <c r="B12544" s="3" t="str">
        <f>"00701098"</f>
        <v>00701098</v>
      </c>
    </row>
    <row r="12545" spans="1:2" x14ac:dyDescent="0.25">
      <c r="A12545" s="4">
        <v>12540</v>
      </c>
      <c r="B12545" s="3" t="str">
        <f>"00701106"</f>
        <v>00701106</v>
      </c>
    </row>
    <row r="12546" spans="1:2" x14ac:dyDescent="0.25">
      <c r="A12546" s="4">
        <v>12541</v>
      </c>
      <c r="B12546" s="3" t="str">
        <f>"00701110"</f>
        <v>00701110</v>
      </c>
    </row>
    <row r="12547" spans="1:2" x14ac:dyDescent="0.25">
      <c r="A12547" s="4">
        <v>12542</v>
      </c>
      <c r="B12547" s="3" t="str">
        <f>"00701120"</f>
        <v>00701120</v>
      </c>
    </row>
    <row r="12548" spans="1:2" x14ac:dyDescent="0.25">
      <c r="A12548" s="4">
        <v>12543</v>
      </c>
      <c r="B12548" s="3" t="str">
        <f>"00701130"</f>
        <v>00701130</v>
      </c>
    </row>
    <row r="12549" spans="1:2" x14ac:dyDescent="0.25">
      <c r="A12549" s="4">
        <v>12544</v>
      </c>
      <c r="B12549" s="3" t="str">
        <f>"00701140"</f>
        <v>00701140</v>
      </c>
    </row>
    <row r="12550" spans="1:2" x14ac:dyDescent="0.25">
      <c r="A12550" s="4">
        <v>12545</v>
      </c>
      <c r="B12550" s="3" t="str">
        <f>"00701142"</f>
        <v>00701142</v>
      </c>
    </row>
    <row r="12551" spans="1:2" x14ac:dyDescent="0.25">
      <c r="A12551" s="4">
        <v>12546</v>
      </c>
      <c r="B12551" s="3" t="str">
        <f>"00701147"</f>
        <v>00701147</v>
      </c>
    </row>
    <row r="12552" spans="1:2" x14ac:dyDescent="0.25">
      <c r="A12552" s="4">
        <v>12547</v>
      </c>
      <c r="B12552" s="3" t="str">
        <f>"00701149"</f>
        <v>00701149</v>
      </c>
    </row>
    <row r="12553" spans="1:2" x14ac:dyDescent="0.25">
      <c r="A12553" s="4">
        <v>12548</v>
      </c>
      <c r="B12553" s="3" t="str">
        <f>"00701153"</f>
        <v>00701153</v>
      </c>
    </row>
    <row r="12554" spans="1:2" x14ac:dyDescent="0.25">
      <c r="A12554" s="4">
        <v>12549</v>
      </c>
      <c r="B12554" s="3" t="str">
        <f>"00701159"</f>
        <v>00701159</v>
      </c>
    </row>
    <row r="12555" spans="1:2" x14ac:dyDescent="0.25">
      <c r="A12555" s="4">
        <v>12550</v>
      </c>
      <c r="B12555" s="3" t="str">
        <f>"00701168"</f>
        <v>00701168</v>
      </c>
    </row>
    <row r="12556" spans="1:2" x14ac:dyDescent="0.25">
      <c r="A12556" s="4">
        <v>12551</v>
      </c>
      <c r="B12556" s="3" t="str">
        <f>"00701198"</f>
        <v>00701198</v>
      </c>
    </row>
    <row r="12557" spans="1:2" x14ac:dyDescent="0.25">
      <c r="A12557" s="4">
        <v>12552</v>
      </c>
      <c r="B12557" s="3" t="str">
        <f>"00701207"</f>
        <v>00701207</v>
      </c>
    </row>
    <row r="12558" spans="1:2" x14ac:dyDescent="0.25">
      <c r="A12558" s="4">
        <v>12553</v>
      </c>
      <c r="B12558" s="3" t="str">
        <f>"00701208"</f>
        <v>00701208</v>
      </c>
    </row>
    <row r="12559" spans="1:2" x14ac:dyDescent="0.25">
      <c r="A12559" s="4">
        <v>12554</v>
      </c>
      <c r="B12559" s="3" t="str">
        <f>"00701210"</f>
        <v>00701210</v>
      </c>
    </row>
    <row r="12560" spans="1:2" x14ac:dyDescent="0.25">
      <c r="A12560" s="4">
        <v>12555</v>
      </c>
      <c r="B12560" s="3" t="str">
        <f>"00701215"</f>
        <v>00701215</v>
      </c>
    </row>
    <row r="12561" spans="1:2" x14ac:dyDescent="0.25">
      <c r="A12561" s="4">
        <v>12556</v>
      </c>
      <c r="B12561" s="3" t="str">
        <f>"00701216"</f>
        <v>00701216</v>
      </c>
    </row>
    <row r="12562" spans="1:2" x14ac:dyDescent="0.25">
      <c r="A12562" s="4">
        <v>12557</v>
      </c>
      <c r="B12562" s="3" t="str">
        <f>"00701221"</f>
        <v>00701221</v>
      </c>
    </row>
    <row r="12563" spans="1:2" x14ac:dyDescent="0.25">
      <c r="A12563" s="4">
        <v>12558</v>
      </c>
      <c r="B12563" s="3" t="str">
        <f>"00701223"</f>
        <v>00701223</v>
      </c>
    </row>
    <row r="12564" spans="1:2" x14ac:dyDescent="0.25">
      <c r="A12564" s="4">
        <v>12559</v>
      </c>
      <c r="B12564" s="3" t="str">
        <f>"00701231"</f>
        <v>00701231</v>
      </c>
    </row>
    <row r="12565" spans="1:2" x14ac:dyDescent="0.25">
      <c r="A12565" s="4">
        <v>12560</v>
      </c>
      <c r="B12565" s="3" t="str">
        <f>"00701239"</f>
        <v>00701239</v>
      </c>
    </row>
    <row r="12566" spans="1:2" x14ac:dyDescent="0.25">
      <c r="A12566" s="4">
        <v>12561</v>
      </c>
      <c r="B12566" s="3" t="str">
        <f>"00701245"</f>
        <v>00701245</v>
      </c>
    </row>
    <row r="12567" spans="1:2" x14ac:dyDescent="0.25">
      <c r="A12567" s="4">
        <v>12562</v>
      </c>
      <c r="B12567" s="3" t="str">
        <f>"00701255"</f>
        <v>00701255</v>
      </c>
    </row>
    <row r="12568" spans="1:2" x14ac:dyDescent="0.25">
      <c r="A12568" s="4">
        <v>12563</v>
      </c>
      <c r="B12568" s="3" t="str">
        <f>"00701256"</f>
        <v>00701256</v>
      </c>
    </row>
    <row r="12569" spans="1:2" x14ac:dyDescent="0.25">
      <c r="A12569" s="4">
        <v>12564</v>
      </c>
      <c r="B12569" s="3" t="str">
        <f>"00701258"</f>
        <v>00701258</v>
      </c>
    </row>
    <row r="12570" spans="1:2" x14ac:dyDescent="0.25">
      <c r="A12570" s="4">
        <v>12565</v>
      </c>
      <c r="B12570" s="3" t="str">
        <f>"00701259"</f>
        <v>00701259</v>
      </c>
    </row>
    <row r="12571" spans="1:2" x14ac:dyDescent="0.25">
      <c r="A12571" s="4">
        <v>12566</v>
      </c>
      <c r="B12571" s="3" t="str">
        <f>"00701273"</f>
        <v>00701273</v>
      </c>
    </row>
    <row r="12572" spans="1:2" x14ac:dyDescent="0.25">
      <c r="A12572" s="4">
        <v>12567</v>
      </c>
      <c r="B12572" s="3" t="str">
        <f>"00701283"</f>
        <v>00701283</v>
      </c>
    </row>
    <row r="12573" spans="1:2" x14ac:dyDescent="0.25">
      <c r="A12573" s="4">
        <v>12568</v>
      </c>
      <c r="B12573" s="3" t="str">
        <f>"00701292"</f>
        <v>00701292</v>
      </c>
    </row>
    <row r="12574" spans="1:2" x14ac:dyDescent="0.25">
      <c r="A12574" s="4">
        <v>12569</v>
      </c>
      <c r="B12574" s="3" t="str">
        <f>"00701293"</f>
        <v>00701293</v>
      </c>
    </row>
    <row r="12575" spans="1:2" x14ac:dyDescent="0.25">
      <c r="A12575" s="4">
        <v>12570</v>
      </c>
      <c r="B12575" s="3" t="str">
        <f>"00701296"</f>
        <v>00701296</v>
      </c>
    </row>
    <row r="12576" spans="1:2" x14ac:dyDescent="0.25">
      <c r="A12576" s="4">
        <v>12571</v>
      </c>
      <c r="B12576" s="3" t="str">
        <f>"00701298"</f>
        <v>00701298</v>
      </c>
    </row>
    <row r="12577" spans="1:2" x14ac:dyDescent="0.25">
      <c r="A12577" s="4">
        <v>12572</v>
      </c>
      <c r="B12577" s="3" t="str">
        <f>"00701301"</f>
        <v>00701301</v>
      </c>
    </row>
    <row r="12578" spans="1:2" x14ac:dyDescent="0.25">
      <c r="A12578" s="4">
        <v>12573</v>
      </c>
      <c r="B12578" s="3" t="str">
        <f>"00701318"</f>
        <v>00701318</v>
      </c>
    </row>
    <row r="12579" spans="1:2" x14ac:dyDescent="0.25">
      <c r="A12579" s="4">
        <v>12574</v>
      </c>
      <c r="B12579" s="3" t="str">
        <f>"00701324"</f>
        <v>00701324</v>
      </c>
    </row>
    <row r="12580" spans="1:2" x14ac:dyDescent="0.25">
      <c r="A12580" s="4">
        <v>12575</v>
      </c>
      <c r="B12580" s="3" t="str">
        <f>"00701326"</f>
        <v>00701326</v>
      </c>
    </row>
    <row r="12581" spans="1:2" x14ac:dyDescent="0.25">
      <c r="A12581" s="4">
        <v>12576</v>
      </c>
      <c r="B12581" s="3" t="str">
        <f>"00701329"</f>
        <v>00701329</v>
      </c>
    </row>
    <row r="12582" spans="1:2" x14ac:dyDescent="0.25">
      <c r="A12582" s="4">
        <v>12577</v>
      </c>
      <c r="B12582" s="3" t="str">
        <f>"00701345"</f>
        <v>00701345</v>
      </c>
    </row>
    <row r="12583" spans="1:2" x14ac:dyDescent="0.25">
      <c r="A12583" s="4">
        <v>12578</v>
      </c>
      <c r="B12583" s="3" t="str">
        <f>"00701347"</f>
        <v>00701347</v>
      </c>
    </row>
    <row r="12584" spans="1:2" x14ac:dyDescent="0.25">
      <c r="A12584" s="4">
        <v>12579</v>
      </c>
      <c r="B12584" s="3" t="str">
        <f>"00701353"</f>
        <v>00701353</v>
      </c>
    </row>
    <row r="12585" spans="1:2" x14ac:dyDescent="0.25">
      <c r="A12585" s="4">
        <v>12580</v>
      </c>
      <c r="B12585" s="3" t="str">
        <f>"00701360"</f>
        <v>00701360</v>
      </c>
    </row>
    <row r="12586" spans="1:2" x14ac:dyDescent="0.25">
      <c r="A12586" s="4">
        <v>12581</v>
      </c>
      <c r="B12586" s="3" t="str">
        <f>"00701364"</f>
        <v>00701364</v>
      </c>
    </row>
    <row r="12587" spans="1:2" x14ac:dyDescent="0.25">
      <c r="A12587" s="4">
        <v>12582</v>
      </c>
      <c r="B12587" s="3" t="str">
        <f>"00701370"</f>
        <v>00701370</v>
      </c>
    </row>
    <row r="12588" spans="1:2" x14ac:dyDescent="0.25">
      <c r="A12588" s="4">
        <v>12583</v>
      </c>
      <c r="B12588" s="3" t="str">
        <f>"00701374"</f>
        <v>00701374</v>
      </c>
    </row>
    <row r="12589" spans="1:2" x14ac:dyDescent="0.25">
      <c r="A12589" s="4">
        <v>12584</v>
      </c>
      <c r="B12589" s="3" t="str">
        <f>"00701378"</f>
        <v>00701378</v>
      </c>
    </row>
    <row r="12590" spans="1:2" x14ac:dyDescent="0.25">
      <c r="A12590" s="4">
        <v>12585</v>
      </c>
      <c r="B12590" s="3" t="str">
        <f>"00701381"</f>
        <v>00701381</v>
      </c>
    </row>
    <row r="12591" spans="1:2" x14ac:dyDescent="0.25">
      <c r="A12591" s="4">
        <v>12586</v>
      </c>
      <c r="B12591" s="3" t="str">
        <f>"00701382"</f>
        <v>00701382</v>
      </c>
    </row>
    <row r="12592" spans="1:2" x14ac:dyDescent="0.25">
      <c r="A12592" s="4">
        <v>12587</v>
      </c>
      <c r="B12592" s="3" t="str">
        <f>"00701399"</f>
        <v>00701399</v>
      </c>
    </row>
    <row r="12593" spans="1:2" x14ac:dyDescent="0.25">
      <c r="A12593" s="4">
        <v>12588</v>
      </c>
      <c r="B12593" s="3" t="str">
        <f>"00701402"</f>
        <v>00701402</v>
      </c>
    </row>
    <row r="12594" spans="1:2" x14ac:dyDescent="0.25">
      <c r="A12594" s="4">
        <v>12589</v>
      </c>
      <c r="B12594" s="3" t="str">
        <f>"00701407"</f>
        <v>00701407</v>
      </c>
    </row>
    <row r="12595" spans="1:2" x14ac:dyDescent="0.25">
      <c r="A12595" s="4">
        <v>12590</v>
      </c>
      <c r="B12595" s="3" t="str">
        <f>"00701410"</f>
        <v>00701410</v>
      </c>
    </row>
    <row r="12596" spans="1:2" x14ac:dyDescent="0.25">
      <c r="A12596" s="4">
        <v>12591</v>
      </c>
      <c r="B12596" s="3" t="str">
        <f>"00701418"</f>
        <v>00701418</v>
      </c>
    </row>
    <row r="12597" spans="1:2" x14ac:dyDescent="0.25">
      <c r="A12597" s="4">
        <v>12592</v>
      </c>
      <c r="B12597" s="3" t="str">
        <f>"00701421"</f>
        <v>00701421</v>
      </c>
    </row>
    <row r="12598" spans="1:2" x14ac:dyDescent="0.25">
      <c r="A12598" s="4">
        <v>12593</v>
      </c>
      <c r="B12598" s="3" t="str">
        <f>"00701435"</f>
        <v>00701435</v>
      </c>
    </row>
    <row r="12599" spans="1:2" x14ac:dyDescent="0.25">
      <c r="A12599" s="4">
        <v>12594</v>
      </c>
      <c r="B12599" s="3" t="str">
        <f>"00701436"</f>
        <v>00701436</v>
      </c>
    </row>
    <row r="12600" spans="1:2" x14ac:dyDescent="0.25">
      <c r="A12600" s="4">
        <v>12595</v>
      </c>
      <c r="B12600" s="3" t="str">
        <f>"00701445"</f>
        <v>00701445</v>
      </c>
    </row>
    <row r="12601" spans="1:2" x14ac:dyDescent="0.25">
      <c r="A12601" s="4">
        <v>12596</v>
      </c>
      <c r="B12601" s="3" t="str">
        <f>"00701451"</f>
        <v>00701451</v>
      </c>
    </row>
    <row r="12602" spans="1:2" x14ac:dyDescent="0.25">
      <c r="A12602" s="4">
        <v>12597</v>
      </c>
      <c r="B12602" s="3" t="str">
        <f>"00701458"</f>
        <v>00701458</v>
      </c>
    </row>
    <row r="12603" spans="1:2" x14ac:dyDescent="0.25">
      <c r="A12603" s="4">
        <v>12598</v>
      </c>
      <c r="B12603" s="3" t="str">
        <f>"00701459"</f>
        <v>00701459</v>
      </c>
    </row>
    <row r="12604" spans="1:2" x14ac:dyDescent="0.25">
      <c r="A12604" s="4">
        <v>12599</v>
      </c>
      <c r="B12604" s="3" t="str">
        <f>"00701471"</f>
        <v>00701471</v>
      </c>
    </row>
    <row r="12605" spans="1:2" x14ac:dyDescent="0.25">
      <c r="A12605" s="4">
        <v>12600</v>
      </c>
      <c r="B12605" s="3" t="str">
        <f>"00701495"</f>
        <v>00701495</v>
      </c>
    </row>
    <row r="12606" spans="1:2" x14ac:dyDescent="0.25">
      <c r="A12606" s="4">
        <v>12601</v>
      </c>
      <c r="B12606" s="3" t="str">
        <f>"00701500"</f>
        <v>00701500</v>
      </c>
    </row>
    <row r="12607" spans="1:2" x14ac:dyDescent="0.25">
      <c r="A12607" s="4">
        <v>12602</v>
      </c>
      <c r="B12607" s="3" t="str">
        <f>"00701520"</f>
        <v>00701520</v>
      </c>
    </row>
    <row r="12608" spans="1:2" x14ac:dyDescent="0.25">
      <c r="A12608" s="4">
        <v>12603</v>
      </c>
      <c r="B12608" s="3" t="str">
        <f>"00701526"</f>
        <v>00701526</v>
      </c>
    </row>
    <row r="12609" spans="1:2" x14ac:dyDescent="0.25">
      <c r="A12609" s="4">
        <v>12604</v>
      </c>
      <c r="B12609" s="3" t="str">
        <f>"00701528"</f>
        <v>00701528</v>
      </c>
    </row>
    <row r="12610" spans="1:2" x14ac:dyDescent="0.25">
      <c r="A12610" s="4">
        <v>12605</v>
      </c>
      <c r="B12610" s="3" t="str">
        <f>"00701533"</f>
        <v>00701533</v>
      </c>
    </row>
    <row r="12611" spans="1:2" x14ac:dyDescent="0.25">
      <c r="A12611" s="4">
        <v>12606</v>
      </c>
      <c r="B12611" s="3" t="str">
        <f>"00701541"</f>
        <v>00701541</v>
      </c>
    </row>
    <row r="12612" spans="1:2" x14ac:dyDescent="0.25">
      <c r="A12612" s="4">
        <v>12607</v>
      </c>
      <c r="B12612" s="3" t="str">
        <f>"00701544"</f>
        <v>00701544</v>
      </c>
    </row>
    <row r="12613" spans="1:2" x14ac:dyDescent="0.25">
      <c r="A12613" s="4">
        <v>12608</v>
      </c>
      <c r="B12613" s="3" t="str">
        <f>"00701563"</f>
        <v>00701563</v>
      </c>
    </row>
    <row r="12614" spans="1:2" x14ac:dyDescent="0.25">
      <c r="A12614" s="4">
        <v>12609</v>
      </c>
      <c r="B12614" s="3" t="str">
        <f>"00701568"</f>
        <v>00701568</v>
      </c>
    </row>
    <row r="12615" spans="1:2" x14ac:dyDescent="0.25">
      <c r="A12615" s="4">
        <v>12610</v>
      </c>
      <c r="B12615" s="3" t="str">
        <f>"00701573"</f>
        <v>00701573</v>
      </c>
    </row>
    <row r="12616" spans="1:2" x14ac:dyDescent="0.25">
      <c r="A12616" s="4">
        <v>12611</v>
      </c>
      <c r="B12616" s="3" t="str">
        <f>"00701581"</f>
        <v>00701581</v>
      </c>
    </row>
    <row r="12617" spans="1:2" x14ac:dyDescent="0.25">
      <c r="A12617" s="4">
        <v>12612</v>
      </c>
      <c r="B12617" s="3" t="str">
        <f>"00701583"</f>
        <v>00701583</v>
      </c>
    </row>
    <row r="12618" spans="1:2" x14ac:dyDescent="0.25">
      <c r="A12618" s="4">
        <v>12613</v>
      </c>
      <c r="B12618" s="3" t="str">
        <f>"00701584"</f>
        <v>00701584</v>
      </c>
    </row>
    <row r="12619" spans="1:2" x14ac:dyDescent="0.25">
      <c r="A12619" s="4">
        <v>12614</v>
      </c>
      <c r="B12619" s="3" t="str">
        <f>"00701598"</f>
        <v>00701598</v>
      </c>
    </row>
    <row r="12620" spans="1:2" x14ac:dyDescent="0.25">
      <c r="A12620" s="4">
        <v>12615</v>
      </c>
      <c r="B12620" s="3" t="str">
        <f>"00701625"</f>
        <v>00701625</v>
      </c>
    </row>
    <row r="12621" spans="1:2" x14ac:dyDescent="0.25">
      <c r="A12621" s="4">
        <v>12616</v>
      </c>
      <c r="B12621" s="3" t="str">
        <f>"00701626"</f>
        <v>00701626</v>
      </c>
    </row>
    <row r="12622" spans="1:2" x14ac:dyDescent="0.25">
      <c r="A12622" s="4">
        <v>12617</v>
      </c>
      <c r="B12622" s="3" t="str">
        <f>"00701638"</f>
        <v>00701638</v>
      </c>
    </row>
    <row r="12623" spans="1:2" x14ac:dyDescent="0.25">
      <c r="A12623" s="4">
        <v>12618</v>
      </c>
      <c r="B12623" s="3" t="str">
        <f>"00701639"</f>
        <v>00701639</v>
      </c>
    </row>
    <row r="12624" spans="1:2" x14ac:dyDescent="0.25">
      <c r="A12624" s="4">
        <v>12619</v>
      </c>
      <c r="B12624" s="3" t="str">
        <f>"00701651"</f>
        <v>00701651</v>
      </c>
    </row>
    <row r="12625" spans="1:2" x14ac:dyDescent="0.25">
      <c r="A12625" s="4">
        <v>12620</v>
      </c>
      <c r="B12625" s="3" t="str">
        <f>"00701660"</f>
        <v>00701660</v>
      </c>
    </row>
    <row r="12626" spans="1:2" x14ac:dyDescent="0.25">
      <c r="A12626" s="4">
        <v>12621</v>
      </c>
      <c r="B12626" s="3" t="str">
        <f>"00701671"</f>
        <v>00701671</v>
      </c>
    </row>
    <row r="12627" spans="1:2" x14ac:dyDescent="0.25">
      <c r="A12627" s="4">
        <v>12622</v>
      </c>
      <c r="B12627" s="3" t="str">
        <f>"00701673"</f>
        <v>00701673</v>
      </c>
    </row>
    <row r="12628" spans="1:2" x14ac:dyDescent="0.25">
      <c r="A12628" s="4">
        <v>12623</v>
      </c>
      <c r="B12628" s="3" t="str">
        <f>"00701674"</f>
        <v>00701674</v>
      </c>
    </row>
    <row r="12629" spans="1:2" x14ac:dyDescent="0.25">
      <c r="A12629" s="4">
        <v>12624</v>
      </c>
      <c r="B12629" s="3" t="str">
        <f>"00701676"</f>
        <v>00701676</v>
      </c>
    </row>
    <row r="12630" spans="1:2" x14ac:dyDescent="0.25">
      <c r="A12630" s="4">
        <v>12625</v>
      </c>
      <c r="B12630" s="3" t="str">
        <f>"00701678"</f>
        <v>00701678</v>
      </c>
    </row>
    <row r="12631" spans="1:2" x14ac:dyDescent="0.25">
      <c r="A12631" s="4">
        <v>12626</v>
      </c>
      <c r="B12631" s="3" t="str">
        <f>"00701683"</f>
        <v>00701683</v>
      </c>
    </row>
    <row r="12632" spans="1:2" x14ac:dyDescent="0.25">
      <c r="A12632" s="4">
        <v>12627</v>
      </c>
      <c r="B12632" s="3" t="str">
        <f>"00701684"</f>
        <v>00701684</v>
      </c>
    </row>
    <row r="12633" spans="1:2" x14ac:dyDescent="0.25">
      <c r="A12633" s="4">
        <v>12628</v>
      </c>
      <c r="B12633" s="3" t="str">
        <f>"00701685"</f>
        <v>00701685</v>
      </c>
    </row>
    <row r="12634" spans="1:2" x14ac:dyDescent="0.25">
      <c r="A12634" s="4">
        <v>12629</v>
      </c>
      <c r="B12634" s="3" t="str">
        <f>"00701691"</f>
        <v>00701691</v>
      </c>
    </row>
    <row r="12635" spans="1:2" x14ac:dyDescent="0.25">
      <c r="A12635" s="4">
        <v>12630</v>
      </c>
      <c r="B12635" s="3" t="str">
        <f>"00701693"</f>
        <v>00701693</v>
      </c>
    </row>
    <row r="12636" spans="1:2" x14ac:dyDescent="0.25">
      <c r="A12636" s="4">
        <v>12631</v>
      </c>
      <c r="B12636" s="3" t="str">
        <f>"00701698"</f>
        <v>00701698</v>
      </c>
    </row>
    <row r="12637" spans="1:2" x14ac:dyDescent="0.25">
      <c r="A12637" s="4">
        <v>12632</v>
      </c>
      <c r="B12637" s="3" t="str">
        <f>"00701701"</f>
        <v>00701701</v>
      </c>
    </row>
    <row r="12638" spans="1:2" x14ac:dyDescent="0.25">
      <c r="A12638" s="4">
        <v>12633</v>
      </c>
      <c r="B12638" s="3" t="str">
        <f>"00701705"</f>
        <v>00701705</v>
      </c>
    </row>
    <row r="12639" spans="1:2" x14ac:dyDescent="0.25">
      <c r="A12639" s="4">
        <v>12634</v>
      </c>
      <c r="B12639" s="3" t="str">
        <f>"00701706"</f>
        <v>00701706</v>
      </c>
    </row>
    <row r="12640" spans="1:2" x14ac:dyDescent="0.25">
      <c r="A12640" s="4">
        <v>12635</v>
      </c>
      <c r="B12640" s="3" t="str">
        <f>"00701707"</f>
        <v>00701707</v>
      </c>
    </row>
    <row r="12641" spans="1:2" x14ac:dyDescent="0.25">
      <c r="A12641" s="4">
        <v>12636</v>
      </c>
      <c r="B12641" s="3" t="str">
        <f>"00701714"</f>
        <v>00701714</v>
      </c>
    </row>
    <row r="12642" spans="1:2" x14ac:dyDescent="0.25">
      <c r="A12642" s="4">
        <v>12637</v>
      </c>
      <c r="B12642" s="3" t="str">
        <f>"00701718"</f>
        <v>00701718</v>
      </c>
    </row>
    <row r="12643" spans="1:2" x14ac:dyDescent="0.25">
      <c r="A12643" s="4">
        <v>12638</v>
      </c>
      <c r="B12643" s="3" t="str">
        <f>"00701720"</f>
        <v>00701720</v>
      </c>
    </row>
    <row r="12644" spans="1:2" x14ac:dyDescent="0.25">
      <c r="A12644" s="4">
        <v>12639</v>
      </c>
      <c r="B12644" s="3" t="str">
        <f>"00701724"</f>
        <v>00701724</v>
      </c>
    </row>
    <row r="12645" spans="1:2" x14ac:dyDescent="0.25">
      <c r="A12645" s="4">
        <v>12640</v>
      </c>
      <c r="B12645" s="3" t="str">
        <f>"00701726"</f>
        <v>00701726</v>
      </c>
    </row>
    <row r="12646" spans="1:2" x14ac:dyDescent="0.25">
      <c r="A12646" s="4">
        <v>12641</v>
      </c>
      <c r="B12646" s="3" t="str">
        <f>"00701730"</f>
        <v>00701730</v>
      </c>
    </row>
    <row r="12647" spans="1:2" x14ac:dyDescent="0.25">
      <c r="A12647" s="4">
        <v>12642</v>
      </c>
      <c r="B12647" s="3" t="str">
        <f>"00701733"</f>
        <v>00701733</v>
      </c>
    </row>
    <row r="12648" spans="1:2" x14ac:dyDescent="0.25">
      <c r="A12648" s="4">
        <v>12643</v>
      </c>
      <c r="B12648" s="3" t="str">
        <f>"00701747"</f>
        <v>00701747</v>
      </c>
    </row>
    <row r="12649" spans="1:2" x14ac:dyDescent="0.25">
      <c r="A12649" s="4">
        <v>12644</v>
      </c>
      <c r="B12649" s="3" t="str">
        <f>"00701749"</f>
        <v>00701749</v>
      </c>
    </row>
    <row r="12650" spans="1:2" x14ac:dyDescent="0.25">
      <c r="A12650" s="4">
        <v>12645</v>
      </c>
      <c r="B12650" s="3" t="str">
        <f>"00701752"</f>
        <v>00701752</v>
      </c>
    </row>
    <row r="12651" spans="1:2" x14ac:dyDescent="0.25">
      <c r="A12651" s="4">
        <v>12646</v>
      </c>
      <c r="B12651" s="3" t="str">
        <f>"00701753"</f>
        <v>00701753</v>
      </c>
    </row>
    <row r="12652" spans="1:2" x14ac:dyDescent="0.25">
      <c r="A12652" s="4">
        <v>12647</v>
      </c>
      <c r="B12652" s="3" t="str">
        <f>"00701755"</f>
        <v>00701755</v>
      </c>
    </row>
    <row r="12653" spans="1:2" x14ac:dyDescent="0.25">
      <c r="A12653" s="4">
        <v>12648</v>
      </c>
      <c r="B12653" s="3" t="str">
        <f>"00701761"</f>
        <v>00701761</v>
      </c>
    </row>
    <row r="12654" spans="1:2" x14ac:dyDescent="0.25">
      <c r="A12654" s="4">
        <v>12649</v>
      </c>
      <c r="B12654" s="3" t="str">
        <f>"00701763"</f>
        <v>00701763</v>
      </c>
    </row>
    <row r="12655" spans="1:2" x14ac:dyDescent="0.25">
      <c r="A12655" s="4">
        <v>12650</v>
      </c>
      <c r="B12655" s="3" t="str">
        <f>"00701768"</f>
        <v>00701768</v>
      </c>
    </row>
    <row r="12656" spans="1:2" x14ac:dyDescent="0.25">
      <c r="A12656" s="4">
        <v>12651</v>
      </c>
      <c r="B12656" s="3" t="str">
        <f>"00701773"</f>
        <v>00701773</v>
      </c>
    </row>
    <row r="12657" spans="1:2" x14ac:dyDescent="0.25">
      <c r="A12657" s="4">
        <v>12652</v>
      </c>
      <c r="B12657" s="3" t="str">
        <f>"00701774"</f>
        <v>00701774</v>
      </c>
    </row>
    <row r="12658" spans="1:2" x14ac:dyDescent="0.25">
      <c r="A12658" s="4">
        <v>12653</v>
      </c>
      <c r="B12658" s="3" t="str">
        <f>"00701777"</f>
        <v>00701777</v>
      </c>
    </row>
    <row r="12659" spans="1:2" x14ac:dyDescent="0.25">
      <c r="A12659" s="4">
        <v>12654</v>
      </c>
      <c r="B12659" s="3" t="str">
        <f>"00701783"</f>
        <v>00701783</v>
      </c>
    </row>
    <row r="12660" spans="1:2" x14ac:dyDescent="0.25">
      <c r="A12660" s="4">
        <v>12655</v>
      </c>
      <c r="B12660" s="3" t="str">
        <f>"00701790"</f>
        <v>00701790</v>
      </c>
    </row>
    <row r="12661" spans="1:2" x14ac:dyDescent="0.25">
      <c r="A12661" s="4">
        <v>12656</v>
      </c>
      <c r="B12661" s="3" t="str">
        <f>"00701794"</f>
        <v>00701794</v>
      </c>
    </row>
    <row r="12662" spans="1:2" x14ac:dyDescent="0.25">
      <c r="A12662" s="4">
        <v>12657</v>
      </c>
      <c r="B12662" s="3" t="str">
        <f>"00701795"</f>
        <v>00701795</v>
      </c>
    </row>
    <row r="12663" spans="1:2" x14ac:dyDescent="0.25">
      <c r="A12663" s="4">
        <v>12658</v>
      </c>
      <c r="B12663" s="3" t="str">
        <f>"00701801"</f>
        <v>00701801</v>
      </c>
    </row>
    <row r="12664" spans="1:2" x14ac:dyDescent="0.25">
      <c r="A12664" s="4">
        <v>12659</v>
      </c>
      <c r="B12664" s="3" t="str">
        <f>"00701808"</f>
        <v>00701808</v>
      </c>
    </row>
    <row r="12665" spans="1:2" x14ac:dyDescent="0.25">
      <c r="A12665" s="4">
        <v>12660</v>
      </c>
      <c r="B12665" s="3" t="str">
        <f>"00701809"</f>
        <v>00701809</v>
      </c>
    </row>
    <row r="12666" spans="1:2" x14ac:dyDescent="0.25">
      <c r="A12666" s="4">
        <v>12661</v>
      </c>
      <c r="B12666" s="3" t="str">
        <f>"00701810"</f>
        <v>00701810</v>
      </c>
    </row>
    <row r="12667" spans="1:2" x14ac:dyDescent="0.25">
      <c r="A12667" s="4">
        <v>12662</v>
      </c>
      <c r="B12667" s="3" t="str">
        <f>"00701813"</f>
        <v>00701813</v>
      </c>
    </row>
    <row r="12668" spans="1:2" x14ac:dyDescent="0.25">
      <c r="A12668" s="4">
        <v>12663</v>
      </c>
      <c r="B12668" s="3" t="str">
        <f>"00701850"</f>
        <v>00701850</v>
      </c>
    </row>
    <row r="12669" spans="1:2" x14ac:dyDescent="0.25">
      <c r="A12669" s="4">
        <v>12664</v>
      </c>
      <c r="B12669" s="3" t="str">
        <f>"00701857"</f>
        <v>00701857</v>
      </c>
    </row>
    <row r="12670" spans="1:2" x14ac:dyDescent="0.25">
      <c r="A12670" s="4">
        <v>12665</v>
      </c>
      <c r="B12670" s="3" t="str">
        <f>"00701874"</f>
        <v>00701874</v>
      </c>
    </row>
    <row r="12671" spans="1:2" x14ac:dyDescent="0.25">
      <c r="A12671" s="4">
        <v>12666</v>
      </c>
      <c r="B12671" s="3" t="str">
        <f>"00701875"</f>
        <v>00701875</v>
      </c>
    </row>
    <row r="12672" spans="1:2" x14ac:dyDescent="0.25">
      <c r="A12672" s="4">
        <v>12667</v>
      </c>
      <c r="B12672" s="3" t="str">
        <f>"00701876"</f>
        <v>00701876</v>
      </c>
    </row>
    <row r="12673" spans="1:2" x14ac:dyDescent="0.25">
      <c r="A12673" s="4">
        <v>12668</v>
      </c>
      <c r="B12673" s="3" t="str">
        <f>"00701887"</f>
        <v>00701887</v>
      </c>
    </row>
    <row r="12674" spans="1:2" x14ac:dyDescent="0.25">
      <c r="A12674" s="4">
        <v>12669</v>
      </c>
      <c r="B12674" s="3" t="str">
        <f>"00701889"</f>
        <v>00701889</v>
      </c>
    </row>
    <row r="12675" spans="1:2" x14ac:dyDescent="0.25">
      <c r="A12675" s="4">
        <v>12670</v>
      </c>
      <c r="B12675" s="3" t="str">
        <f>"00701925"</f>
        <v>00701925</v>
      </c>
    </row>
    <row r="12676" spans="1:2" x14ac:dyDescent="0.25">
      <c r="A12676" s="4">
        <v>12671</v>
      </c>
      <c r="B12676" s="3" t="str">
        <f>"00701928"</f>
        <v>00701928</v>
      </c>
    </row>
    <row r="12677" spans="1:2" x14ac:dyDescent="0.25">
      <c r="A12677" s="4">
        <v>12672</v>
      </c>
      <c r="B12677" s="3" t="str">
        <f>"00701932"</f>
        <v>00701932</v>
      </c>
    </row>
    <row r="12678" spans="1:2" x14ac:dyDescent="0.25">
      <c r="A12678" s="4">
        <v>12673</v>
      </c>
      <c r="B12678" s="3" t="str">
        <f>"00701937"</f>
        <v>00701937</v>
      </c>
    </row>
    <row r="12679" spans="1:2" x14ac:dyDescent="0.25">
      <c r="A12679" s="4">
        <v>12674</v>
      </c>
      <c r="B12679" s="3" t="str">
        <f>"00701943"</f>
        <v>00701943</v>
      </c>
    </row>
    <row r="12680" spans="1:2" x14ac:dyDescent="0.25">
      <c r="A12680" s="4">
        <v>12675</v>
      </c>
      <c r="B12680" s="3" t="str">
        <f>"00701945"</f>
        <v>00701945</v>
      </c>
    </row>
    <row r="12681" spans="1:2" x14ac:dyDescent="0.25">
      <c r="A12681" s="4">
        <v>12676</v>
      </c>
      <c r="B12681" s="3" t="str">
        <f>"00701947"</f>
        <v>00701947</v>
      </c>
    </row>
    <row r="12682" spans="1:2" x14ac:dyDescent="0.25">
      <c r="A12682" s="4">
        <v>12677</v>
      </c>
      <c r="B12682" s="3" t="str">
        <f>"00701951"</f>
        <v>00701951</v>
      </c>
    </row>
    <row r="12683" spans="1:2" x14ac:dyDescent="0.25">
      <c r="A12683" s="4">
        <v>12678</v>
      </c>
      <c r="B12683" s="3" t="str">
        <f>"00701969"</f>
        <v>00701969</v>
      </c>
    </row>
    <row r="12684" spans="1:2" x14ac:dyDescent="0.25">
      <c r="A12684" s="4">
        <v>12679</v>
      </c>
      <c r="B12684" s="3" t="str">
        <f>"00701982"</f>
        <v>00701982</v>
      </c>
    </row>
    <row r="12685" spans="1:2" x14ac:dyDescent="0.25">
      <c r="A12685" s="4">
        <v>12680</v>
      </c>
      <c r="B12685" s="3" t="str">
        <f>"00701988"</f>
        <v>00701988</v>
      </c>
    </row>
    <row r="12686" spans="1:2" x14ac:dyDescent="0.25">
      <c r="A12686" s="4">
        <v>12681</v>
      </c>
      <c r="B12686" s="3" t="str">
        <f>"00701991"</f>
        <v>00701991</v>
      </c>
    </row>
    <row r="12687" spans="1:2" x14ac:dyDescent="0.25">
      <c r="A12687" s="4">
        <v>12682</v>
      </c>
      <c r="B12687" s="3" t="str">
        <f>"00701993"</f>
        <v>00701993</v>
      </c>
    </row>
    <row r="12688" spans="1:2" x14ac:dyDescent="0.25">
      <c r="A12688" s="4">
        <v>12683</v>
      </c>
      <c r="B12688" s="3" t="str">
        <f>"00702012"</f>
        <v>00702012</v>
      </c>
    </row>
    <row r="12689" spans="1:2" x14ac:dyDescent="0.25">
      <c r="A12689" s="4">
        <v>12684</v>
      </c>
      <c r="B12689" s="3" t="str">
        <f>"00702038"</f>
        <v>00702038</v>
      </c>
    </row>
    <row r="12690" spans="1:2" x14ac:dyDescent="0.25">
      <c r="A12690" s="4">
        <v>12685</v>
      </c>
      <c r="B12690" s="3" t="str">
        <f>"00702041"</f>
        <v>00702041</v>
      </c>
    </row>
    <row r="12691" spans="1:2" x14ac:dyDescent="0.25">
      <c r="A12691" s="4">
        <v>12686</v>
      </c>
      <c r="B12691" s="3" t="str">
        <f>"00702045"</f>
        <v>00702045</v>
      </c>
    </row>
    <row r="12692" spans="1:2" x14ac:dyDescent="0.25">
      <c r="A12692" s="4">
        <v>12687</v>
      </c>
      <c r="B12692" s="3" t="str">
        <f>"00702048"</f>
        <v>00702048</v>
      </c>
    </row>
    <row r="12693" spans="1:2" x14ac:dyDescent="0.25">
      <c r="A12693" s="4">
        <v>12688</v>
      </c>
      <c r="B12693" s="3" t="str">
        <f>"00702059"</f>
        <v>00702059</v>
      </c>
    </row>
    <row r="12694" spans="1:2" x14ac:dyDescent="0.25">
      <c r="A12694" s="4">
        <v>12689</v>
      </c>
      <c r="B12694" s="3" t="str">
        <f>"00702062"</f>
        <v>00702062</v>
      </c>
    </row>
    <row r="12695" spans="1:2" x14ac:dyDescent="0.25">
      <c r="A12695" s="4">
        <v>12690</v>
      </c>
      <c r="B12695" s="3" t="str">
        <f>"00702063"</f>
        <v>00702063</v>
      </c>
    </row>
    <row r="12696" spans="1:2" x14ac:dyDescent="0.25">
      <c r="A12696" s="4">
        <v>12691</v>
      </c>
      <c r="B12696" s="3" t="str">
        <f>"00702067"</f>
        <v>00702067</v>
      </c>
    </row>
    <row r="12697" spans="1:2" x14ac:dyDescent="0.25">
      <c r="A12697" s="4">
        <v>12692</v>
      </c>
      <c r="B12697" s="3" t="str">
        <f>"00702084"</f>
        <v>00702084</v>
      </c>
    </row>
    <row r="12698" spans="1:2" x14ac:dyDescent="0.25">
      <c r="A12698" s="4">
        <v>12693</v>
      </c>
      <c r="B12698" s="3" t="str">
        <f>"00702086"</f>
        <v>00702086</v>
      </c>
    </row>
    <row r="12699" spans="1:2" x14ac:dyDescent="0.25">
      <c r="A12699" s="4">
        <v>12694</v>
      </c>
      <c r="B12699" s="3" t="str">
        <f>"00702096"</f>
        <v>00702096</v>
      </c>
    </row>
    <row r="12700" spans="1:2" x14ac:dyDescent="0.25">
      <c r="A12700" s="4">
        <v>12695</v>
      </c>
      <c r="B12700" s="3" t="str">
        <f>"00702100"</f>
        <v>00702100</v>
      </c>
    </row>
    <row r="12701" spans="1:2" x14ac:dyDescent="0.25">
      <c r="A12701" s="4">
        <v>12696</v>
      </c>
      <c r="B12701" s="3" t="str">
        <f>"00702101"</f>
        <v>00702101</v>
      </c>
    </row>
    <row r="12702" spans="1:2" x14ac:dyDescent="0.25">
      <c r="A12702" s="4">
        <v>12697</v>
      </c>
      <c r="B12702" s="3" t="str">
        <f>"00702102"</f>
        <v>00702102</v>
      </c>
    </row>
    <row r="12703" spans="1:2" x14ac:dyDescent="0.25">
      <c r="A12703" s="4">
        <v>12698</v>
      </c>
      <c r="B12703" s="3" t="str">
        <f>"00702107"</f>
        <v>00702107</v>
      </c>
    </row>
    <row r="12704" spans="1:2" x14ac:dyDescent="0.25">
      <c r="A12704" s="4">
        <v>12699</v>
      </c>
      <c r="B12704" s="3" t="str">
        <f>"00702126"</f>
        <v>00702126</v>
      </c>
    </row>
    <row r="12705" spans="1:2" x14ac:dyDescent="0.25">
      <c r="A12705" s="4">
        <v>12700</v>
      </c>
      <c r="B12705" s="3" t="str">
        <f>"00702130"</f>
        <v>00702130</v>
      </c>
    </row>
    <row r="12706" spans="1:2" x14ac:dyDescent="0.25">
      <c r="A12706" s="4">
        <v>12701</v>
      </c>
      <c r="B12706" s="3" t="str">
        <f>"00702153"</f>
        <v>00702153</v>
      </c>
    </row>
    <row r="12707" spans="1:2" x14ac:dyDescent="0.25">
      <c r="A12707" s="4">
        <v>12702</v>
      </c>
      <c r="B12707" s="3" t="str">
        <f>"00702155"</f>
        <v>00702155</v>
      </c>
    </row>
    <row r="12708" spans="1:2" x14ac:dyDescent="0.25">
      <c r="A12708" s="4">
        <v>12703</v>
      </c>
      <c r="B12708" s="3" t="str">
        <f>"00702166"</f>
        <v>00702166</v>
      </c>
    </row>
    <row r="12709" spans="1:2" x14ac:dyDescent="0.25">
      <c r="A12709" s="4">
        <v>12704</v>
      </c>
      <c r="B12709" s="3" t="str">
        <f>"00702172"</f>
        <v>00702172</v>
      </c>
    </row>
    <row r="12710" spans="1:2" x14ac:dyDescent="0.25">
      <c r="A12710" s="4">
        <v>12705</v>
      </c>
      <c r="B12710" s="3" t="str">
        <f>"00702178"</f>
        <v>00702178</v>
      </c>
    </row>
    <row r="12711" spans="1:2" x14ac:dyDescent="0.25">
      <c r="A12711" s="4">
        <v>12706</v>
      </c>
      <c r="B12711" s="3" t="str">
        <f>"00702187"</f>
        <v>00702187</v>
      </c>
    </row>
    <row r="12712" spans="1:2" x14ac:dyDescent="0.25">
      <c r="A12712" s="4">
        <v>12707</v>
      </c>
      <c r="B12712" s="3" t="str">
        <f>"00702199"</f>
        <v>00702199</v>
      </c>
    </row>
    <row r="12713" spans="1:2" x14ac:dyDescent="0.25">
      <c r="A12713" s="4">
        <v>12708</v>
      </c>
      <c r="B12713" s="3" t="str">
        <f>"00702201"</f>
        <v>00702201</v>
      </c>
    </row>
    <row r="12714" spans="1:2" x14ac:dyDescent="0.25">
      <c r="A12714" s="4">
        <v>12709</v>
      </c>
      <c r="B12714" s="3" t="str">
        <f>"00702207"</f>
        <v>00702207</v>
      </c>
    </row>
    <row r="12715" spans="1:2" x14ac:dyDescent="0.25">
      <c r="A12715" s="4">
        <v>12710</v>
      </c>
      <c r="B12715" s="3" t="str">
        <f>"00702218"</f>
        <v>00702218</v>
      </c>
    </row>
    <row r="12716" spans="1:2" x14ac:dyDescent="0.25">
      <c r="A12716" s="4">
        <v>12711</v>
      </c>
      <c r="B12716" s="3" t="str">
        <f>"00702227"</f>
        <v>00702227</v>
      </c>
    </row>
    <row r="12717" spans="1:2" x14ac:dyDescent="0.25">
      <c r="A12717" s="4">
        <v>12712</v>
      </c>
      <c r="B12717" s="3" t="str">
        <f>"00702228"</f>
        <v>00702228</v>
      </c>
    </row>
    <row r="12718" spans="1:2" x14ac:dyDescent="0.25">
      <c r="A12718" s="4">
        <v>12713</v>
      </c>
      <c r="B12718" s="3" t="str">
        <f>"00702232"</f>
        <v>00702232</v>
      </c>
    </row>
    <row r="12719" spans="1:2" x14ac:dyDescent="0.25">
      <c r="A12719" s="4">
        <v>12714</v>
      </c>
      <c r="B12719" s="3" t="str">
        <f>"00702237"</f>
        <v>00702237</v>
      </c>
    </row>
    <row r="12720" spans="1:2" x14ac:dyDescent="0.25">
      <c r="A12720" s="4">
        <v>12715</v>
      </c>
      <c r="B12720" s="3" t="str">
        <f>"00702254"</f>
        <v>00702254</v>
      </c>
    </row>
    <row r="12721" spans="1:2" x14ac:dyDescent="0.25">
      <c r="A12721" s="4">
        <v>12716</v>
      </c>
      <c r="B12721" s="3" t="str">
        <f>"00702265"</f>
        <v>00702265</v>
      </c>
    </row>
    <row r="12722" spans="1:2" x14ac:dyDescent="0.25">
      <c r="A12722" s="4">
        <v>12717</v>
      </c>
      <c r="B12722" s="3" t="str">
        <f>"00702267"</f>
        <v>00702267</v>
      </c>
    </row>
    <row r="12723" spans="1:2" x14ac:dyDescent="0.25">
      <c r="A12723" s="4">
        <v>12718</v>
      </c>
      <c r="B12723" s="3" t="str">
        <f>"00702273"</f>
        <v>00702273</v>
      </c>
    </row>
    <row r="12724" spans="1:2" x14ac:dyDescent="0.25">
      <c r="A12724" s="4">
        <v>12719</v>
      </c>
      <c r="B12724" s="3" t="str">
        <f>"00702277"</f>
        <v>00702277</v>
      </c>
    </row>
    <row r="12725" spans="1:2" x14ac:dyDescent="0.25">
      <c r="A12725" s="4">
        <v>12720</v>
      </c>
      <c r="B12725" s="3" t="str">
        <f>"00702282"</f>
        <v>00702282</v>
      </c>
    </row>
    <row r="12726" spans="1:2" x14ac:dyDescent="0.25">
      <c r="A12726" s="4">
        <v>12721</v>
      </c>
      <c r="B12726" s="3" t="str">
        <f>"00702289"</f>
        <v>00702289</v>
      </c>
    </row>
    <row r="12727" spans="1:2" x14ac:dyDescent="0.25">
      <c r="A12727" s="4">
        <v>12722</v>
      </c>
      <c r="B12727" s="3" t="str">
        <f>"00702291"</f>
        <v>00702291</v>
      </c>
    </row>
    <row r="12728" spans="1:2" x14ac:dyDescent="0.25">
      <c r="A12728" s="4">
        <v>12723</v>
      </c>
      <c r="B12728" s="3" t="str">
        <f>"00702302"</f>
        <v>00702302</v>
      </c>
    </row>
    <row r="12729" spans="1:2" x14ac:dyDescent="0.25">
      <c r="A12729" s="4">
        <v>12724</v>
      </c>
      <c r="B12729" s="3" t="str">
        <f>"00702308"</f>
        <v>00702308</v>
      </c>
    </row>
    <row r="12730" spans="1:2" x14ac:dyDescent="0.25">
      <c r="A12730" s="4">
        <v>12725</v>
      </c>
      <c r="B12730" s="3" t="str">
        <f>"00702315"</f>
        <v>00702315</v>
      </c>
    </row>
    <row r="12731" spans="1:2" x14ac:dyDescent="0.25">
      <c r="A12731" s="4">
        <v>12726</v>
      </c>
      <c r="B12731" s="3" t="str">
        <f>"00702317"</f>
        <v>00702317</v>
      </c>
    </row>
    <row r="12732" spans="1:2" x14ac:dyDescent="0.25">
      <c r="A12732" s="4">
        <v>12727</v>
      </c>
      <c r="B12732" s="3" t="str">
        <f>"00702327"</f>
        <v>00702327</v>
      </c>
    </row>
    <row r="12733" spans="1:2" x14ac:dyDescent="0.25">
      <c r="A12733" s="4">
        <v>12728</v>
      </c>
      <c r="B12733" s="3" t="str">
        <f>"00702336"</f>
        <v>00702336</v>
      </c>
    </row>
    <row r="12734" spans="1:2" x14ac:dyDescent="0.25">
      <c r="A12734" s="4">
        <v>12729</v>
      </c>
      <c r="B12734" s="3" t="str">
        <f>"00702338"</f>
        <v>00702338</v>
      </c>
    </row>
    <row r="12735" spans="1:2" x14ac:dyDescent="0.25">
      <c r="A12735" s="4">
        <v>12730</v>
      </c>
      <c r="B12735" s="3" t="str">
        <f>"00702340"</f>
        <v>00702340</v>
      </c>
    </row>
    <row r="12736" spans="1:2" x14ac:dyDescent="0.25">
      <c r="A12736" s="4">
        <v>12731</v>
      </c>
      <c r="B12736" s="3" t="str">
        <f>"00702342"</f>
        <v>00702342</v>
      </c>
    </row>
    <row r="12737" spans="1:2" x14ac:dyDescent="0.25">
      <c r="A12737" s="4">
        <v>12732</v>
      </c>
      <c r="B12737" s="3" t="str">
        <f>"00702346"</f>
        <v>00702346</v>
      </c>
    </row>
    <row r="12738" spans="1:2" x14ac:dyDescent="0.25">
      <c r="A12738" s="4">
        <v>12733</v>
      </c>
      <c r="B12738" s="3" t="str">
        <f>"00702353"</f>
        <v>00702353</v>
      </c>
    </row>
    <row r="12739" spans="1:2" x14ac:dyDescent="0.25">
      <c r="A12739" s="4">
        <v>12734</v>
      </c>
      <c r="B12739" s="3" t="str">
        <f>"00702355"</f>
        <v>00702355</v>
      </c>
    </row>
    <row r="12740" spans="1:2" x14ac:dyDescent="0.25">
      <c r="A12740" s="4">
        <v>12735</v>
      </c>
      <c r="B12740" s="3" t="str">
        <f>"00702363"</f>
        <v>00702363</v>
      </c>
    </row>
    <row r="12741" spans="1:2" x14ac:dyDescent="0.25">
      <c r="A12741" s="4">
        <v>12736</v>
      </c>
      <c r="B12741" s="3" t="str">
        <f>"00702371"</f>
        <v>00702371</v>
      </c>
    </row>
    <row r="12742" spans="1:2" x14ac:dyDescent="0.25">
      <c r="A12742" s="4">
        <v>12737</v>
      </c>
      <c r="B12742" s="3" t="str">
        <f>"00702379"</f>
        <v>00702379</v>
      </c>
    </row>
    <row r="12743" spans="1:2" x14ac:dyDescent="0.25">
      <c r="A12743" s="4">
        <v>12738</v>
      </c>
      <c r="B12743" s="3" t="str">
        <f>"00702381"</f>
        <v>00702381</v>
      </c>
    </row>
    <row r="12744" spans="1:2" x14ac:dyDescent="0.25">
      <c r="A12744" s="4">
        <v>12739</v>
      </c>
      <c r="B12744" s="3" t="str">
        <f>"00702386"</f>
        <v>00702386</v>
      </c>
    </row>
    <row r="12745" spans="1:2" x14ac:dyDescent="0.25">
      <c r="A12745" s="4">
        <v>12740</v>
      </c>
      <c r="B12745" s="3" t="str">
        <f>"00702395"</f>
        <v>00702395</v>
      </c>
    </row>
    <row r="12746" spans="1:2" x14ac:dyDescent="0.25">
      <c r="A12746" s="4">
        <v>12741</v>
      </c>
      <c r="B12746" s="3" t="str">
        <f>"00702423"</f>
        <v>00702423</v>
      </c>
    </row>
    <row r="12747" spans="1:2" x14ac:dyDescent="0.25">
      <c r="A12747" s="4">
        <v>12742</v>
      </c>
      <c r="B12747" s="3" t="str">
        <f>"00702443"</f>
        <v>00702443</v>
      </c>
    </row>
    <row r="12748" spans="1:2" x14ac:dyDescent="0.25">
      <c r="A12748" s="4">
        <v>12743</v>
      </c>
      <c r="B12748" s="3" t="str">
        <f>"00702466"</f>
        <v>00702466</v>
      </c>
    </row>
    <row r="12749" spans="1:2" x14ac:dyDescent="0.25">
      <c r="A12749" s="4">
        <v>12744</v>
      </c>
      <c r="B12749" s="3" t="str">
        <f>"00702473"</f>
        <v>00702473</v>
      </c>
    </row>
    <row r="12750" spans="1:2" x14ac:dyDescent="0.25">
      <c r="A12750" s="4">
        <v>12745</v>
      </c>
      <c r="B12750" s="3" t="str">
        <f>"00702481"</f>
        <v>00702481</v>
      </c>
    </row>
    <row r="12751" spans="1:2" x14ac:dyDescent="0.25">
      <c r="A12751" s="4">
        <v>12746</v>
      </c>
      <c r="B12751" s="3" t="str">
        <f>"00702487"</f>
        <v>00702487</v>
      </c>
    </row>
    <row r="12752" spans="1:2" x14ac:dyDescent="0.25">
      <c r="A12752" s="4">
        <v>12747</v>
      </c>
      <c r="B12752" s="3" t="str">
        <f>"00702489"</f>
        <v>00702489</v>
      </c>
    </row>
    <row r="12753" spans="1:2" x14ac:dyDescent="0.25">
      <c r="A12753" s="4">
        <v>12748</v>
      </c>
      <c r="B12753" s="3" t="str">
        <f>"00702540"</f>
        <v>00702540</v>
      </c>
    </row>
    <row r="12754" spans="1:2" x14ac:dyDescent="0.25">
      <c r="A12754" s="4">
        <v>12749</v>
      </c>
      <c r="B12754" s="3" t="str">
        <f>"00702544"</f>
        <v>00702544</v>
      </c>
    </row>
    <row r="12755" spans="1:2" x14ac:dyDescent="0.25">
      <c r="A12755" s="4">
        <v>12750</v>
      </c>
      <c r="B12755" s="3" t="str">
        <f>"00702549"</f>
        <v>00702549</v>
      </c>
    </row>
    <row r="12756" spans="1:2" x14ac:dyDescent="0.25">
      <c r="A12756" s="4">
        <v>12751</v>
      </c>
      <c r="B12756" s="3" t="str">
        <f>"00702605"</f>
        <v>00702605</v>
      </c>
    </row>
    <row r="12757" spans="1:2" x14ac:dyDescent="0.25">
      <c r="A12757" s="4">
        <v>12752</v>
      </c>
      <c r="B12757" s="3" t="str">
        <f>"00702608"</f>
        <v>00702608</v>
      </c>
    </row>
    <row r="12758" spans="1:2" x14ac:dyDescent="0.25">
      <c r="A12758" s="4">
        <v>12753</v>
      </c>
      <c r="B12758" s="3" t="str">
        <f>"00702612"</f>
        <v>00702612</v>
      </c>
    </row>
    <row r="12759" spans="1:2" x14ac:dyDescent="0.25">
      <c r="A12759" s="4">
        <v>12754</v>
      </c>
      <c r="B12759" s="3" t="str">
        <f>"00702616"</f>
        <v>00702616</v>
      </c>
    </row>
    <row r="12760" spans="1:2" x14ac:dyDescent="0.25">
      <c r="A12760" s="4">
        <v>12755</v>
      </c>
      <c r="B12760" s="3" t="str">
        <f>"00702620"</f>
        <v>00702620</v>
      </c>
    </row>
    <row r="12761" spans="1:2" x14ac:dyDescent="0.25">
      <c r="A12761" s="4">
        <v>12756</v>
      </c>
      <c r="B12761" s="3" t="str">
        <f>"00702628"</f>
        <v>00702628</v>
      </c>
    </row>
    <row r="12762" spans="1:2" x14ac:dyDescent="0.25">
      <c r="A12762" s="4">
        <v>12757</v>
      </c>
      <c r="B12762" s="3" t="str">
        <f>"00702630"</f>
        <v>00702630</v>
      </c>
    </row>
    <row r="12763" spans="1:2" x14ac:dyDescent="0.25">
      <c r="A12763" s="4">
        <v>12758</v>
      </c>
      <c r="B12763" s="3" t="str">
        <f>"00702631"</f>
        <v>00702631</v>
      </c>
    </row>
    <row r="12764" spans="1:2" x14ac:dyDescent="0.25">
      <c r="A12764" s="4">
        <v>12759</v>
      </c>
      <c r="B12764" s="3" t="str">
        <f>"00702651"</f>
        <v>00702651</v>
      </c>
    </row>
    <row r="12765" spans="1:2" x14ac:dyDescent="0.25">
      <c r="A12765" s="4">
        <v>12760</v>
      </c>
      <c r="B12765" s="3" t="str">
        <f>"00702661"</f>
        <v>00702661</v>
      </c>
    </row>
    <row r="12766" spans="1:2" x14ac:dyDescent="0.25">
      <c r="A12766" s="4">
        <v>12761</v>
      </c>
      <c r="B12766" s="3" t="str">
        <f>"00702672"</f>
        <v>00702672</v>
      </c>
    </row>
    <row r="12767" spans="1:2" x14ac:dyDescent="0.25">
      <c r="A12767" s="4">
        <v>12762</v>
      </c>
      <c r="B12767" s="3" t="str">
        <f>"00702676"</f>
        <v>00702676</v>
      </c>
    </row>
    <row r="12768" spans="1:2" x14ac:dyDescent="0.25">
      <c r="A12768" s="4">
        <v>12763</v>
      </c>
      <c r="B12768" s="3" t="str">
        <f>"00702683"</f>
        <v>00702683</v>
      </c>
    </row>
    <row r="12769" spans="1:2" x14ac:dyDescent="0.25">
      <c r="A12769" s="4">
        <v>12764</v>
      </c>
      <c r="B12769" s="3" t="str">
        <f>"00702690"</f>
        <v>00702690</v>
      </c>
    </row>
    <row r="12770" spans="1:2" x14ac:dyDescent="0.25">
      <c r="A12770" s="4">
        <v>12765</v>
      </c>
      <c r="B12770" s="3" t="str">
        <f>"00702702"</f>
        <v>00702702</v>
      </c>
    </row>
    <row r="12771" spans="1:2" x14ac:dyDescent="0.25">
      <c r="A12771" s="4">
        <v>12766</v>
      </c>
      <c r="B12771" s="3" t="str">
        <f>"00702717"</f>
        <v>00702717</v>
      </c>
    </row>
    <row r="12772" spans="1:2" x14ac:dyDescent="0.25">
      <c r="A12772" s="4">
        <v>12767</v>
      </c>
      <c r="B12772" s="3" t="str">
        <f>"00702720"</f>
        <v>00702720</v>
      </c>
    </row>
    <row r="12773" spans="1:2" x14ac:dyDescent="0.25">
      <c r="A12773" s="4">
        <v>12768</v>
      </c>
      <c r="B12773" s="3" t="str">
        <f>"00702731"</f>
        <v>00702731</v>
      </c>
    </row>
    <row r="12774" spans="1:2" x14ac:dyDescent="0.25">
      <c r="A12774" s="4">
        <v>12769</v>
      </c>
      <c r="B12774" s="3" t="str">
        <f>"00702741"</f>
        <v>00702741</v>
      </c>
    </row>
    <row r="12775" spans="1:2" x14ac:dyDescent="0.25">
      <c r="A12775" s="4">
        <v>12770</v>
      </c>
      <c r="B12775" s="3" t="str">
        <f>"00702745"</f>
        <v>00702745</v>
      </c>
    </row>
    <row r="12776" spans="1:2" x14ac:dyDescent="0.25">
      <c r="A12776" s="4">
        <v>12771</v>
      </c>
      <c r="B12776" s="3" t="str">
        <f>"00702746"</f>
        <v>00702746</v>
      </c>
    </row>
    <row r="12777" spans="1:2" x14ac:dyDescent="0.25">
      <c r="A12777" s="4">
        <v>12772</v>
      </c>
      <c r="B12777" s="3" t="str">
        <f>"00702757"</f>
        <v>00702757</v>
      </c>
    </row>
    <row r="12778" spans="1:2" x14ac:dyDescent="0.25">
      <c r="A12778" s="4">
        <v>12773</v>
      </c>
      <c r="B12778" s="3" t="str">
        <f>"00702758"</f>
        <v>00702758</v>
      </c>
    </row>
    <row r="12779" spans="1:2" x14ac:dyDescent="0.25">
      <c r="A12779" s="4">
        <v>12774</v>
      </c>
      <c r="B12779" s="3" t="str">
        <f>"00702766"</f>
        <v>00702766</v>
      </c>
    </row>
    <row r="12780" spans="1:2" x14ac:dyDescent="0.25">
      <c r="A12780" s="4">
        <v>12775</v>
      </c>
      <c r="B12780" s="3" t="str">
        <f>"00702782"</f>
        <v>00702782</v>
      </c>
    </row>
    <row r="12781" spans="1:2" x14ac:dyDescent="0.25">
      <c r="A12781" s="4">
        <v>12776</v>
      </c>
      <c r="B12781" s="3" t="str">
        <f>"00702792"</f>
        <v>00702792</v>
      </c>
    </row>
    <row r="12782" spans="1:2" x14ac:dyDescent="0.25">
      <c r="A12782" s="4">
        <v>12777</v>
      </c>
      <c r="B12782" s="3" t="str">
        <f>"00702796"</f>
        <v>00702796</v>
      </c>
    </row>
    <row r="12783" spans="1:2" x14ac:dyDescent="0.25">
      <c r="A12783" s="4">
        <v>12778</v>
      </c>
      <c r="B12783" s="3" t="str">
        <f>"00702798"</f>
        <v>00702798</v>
      </c>
    </row>
    <row r="12784" spans="1:2" x14ac:dyDescent="0.25">
      <c r="A12784" s="4">
        <v>12779</v>
      </c>
      <c r="B12784" s="3" t="str">
        <f>"00702800"</f>
        <v>00702800</v>
      </c>
    </row>
    <row r="12785" spans="1:2" x14ac:dyDescent="0.25">
      <c r="A12785" s="4">
        <v>12780</v>
      </c>
      <c r="B12785" s="3" t="str">
        <f>"00702809"</f>
        <v>00702809</v>
      </c>
    </row>
    <row r="12786" spans="1:2" x14ac:dyDescent="0.25">
      <c r="A12786" s="4">
        <v>12781</v>
      </c>
      <c r="B12786" s="3" t="str">
        <f>"00702817"</f>
        <v>00702817</v>
      </c>
    </row>
    <row r="12787" spans="1:2" x14ac:dyDescent="0.25">
      <c r="A12787" s="4">
        <v>12782</v>
      </c>
      <c r="B12787" s="3" t="str">
        <f>"00702847"</f>
        <v>00702847</v>
      </c>
    </row>
    <row r="12788" spans="1:2" x14ac:dyDescent="0.25">
      <c r="A12788" s="4">
        <v>12783</v>
      </c>
      <c r="B12788" s="3" t="str">
        <f>"00702848"</f>
        <v>00702848</v>
      </c>
    </row>
    <row r="12789" spans="1:2" x14ac:dyDescent="0.25">
      <c r="A12789" s="4">
        <v>12784</v>
      </c>
      <c r="B12789" s="3" t="str">
        <f>"00702850"</f>
        <v>00702850</v>
      </c>
    </row>
    <row r="12790" spans="1:2" x14ac:dyDescent="0.25">
      <c r="A12790" s="4">
        <v>12785</v>
      </c>
      <c r="B12790" s="3" t="str">
        <f>"00702853"</f>
        <v>00702853</v>
      </c>
    </row>
    <row r="12791" spans="1:2" x14ac:dyDescent="0.25">
      <c r="A12791" s="4">
        <v>12786</v>
      </c>
      <c r="B12791" s="3" t="str">
        <f>"00702855"</f>
        <v>00702855</v>
      </c>
    </row>
    <row r="12792" spans="1:2" x14ac:dyDescent="0.25">
      <c r="A12792" s="4">
        <v>12787</v>
      </c>
      <c r="B12792" s="3" t="str">
        <f>"00702857"</f>
        <v>00702857</v>
      </c>
    </row>
    <row r="12793" spans="1:2" x14ac:dyDescent="0.25">
      <c r="A12793" s="4">
        <v>12788</v>
      </c>
      <c r="B12793" s="3" t="str">
        <f>"00702861"</f>
        <v>00702861</v>
      </c>
    </row>
    <row r="12794" spans="1:2" x14ac:dyDescent="0.25">
      <c r="A12794" s="4">
        <v>12789</v>
      </c>
      <c r="B12794" s="3" t="str">
        <f>"00702867"</f>
        <v>00702867</v>
      </c>
    </row>
    <row r="12795" spans="1:2" x14ac:dyDescent="0.25">
      <c r="A12795" s="4">
        <v>12790</v>
      </c>
      <c r="B12795" s="3" t="str">
        <f>"00702868"</f>
        <v>00702868</v>
      </c>
    </row>
    <row r="12796" spans="1:2" x14ac:dyDescent="0.25">
      <c r="A12796" s="4">
        <v>12791</v>
      </c>
      <c r="B12796" s="3" t="str">
        <f>"00702875"</f>
        <v>00702875</v>
      </c>
    </row>
    <row r="12797" spans="1:2" x14ac:dyDescent="0.25">
      <c r="A12797" s="4">
        <v>12792</v>
      </c>
      <c r="B12797" s="3" t="str">
        <f>"00702877"</f>
        <v>00702877</v>
      </c>
    </row>
    <row r="12798" spans="1:2" x14ac:dyDescent="0.25">
      <c r="A12798" s="4">
        <v>12793</v>
      </c>
      <c r="B12798" s="3" t="str">
        <f>"00702894"</f>
        <v>00702894</v>
      </c>
    </row>
    <row r="12799" spans="1:2" x14ac:dyDescent="0.25">
      <c r="A12799" s="4">
        <v>12794</v>
      </c>
      <c r="B12799" s="3" t="str">
        <f>"00702895"</f>
        <v>00702895</v>
      </c>
    </row>
    <row r="12800" spans="1:2" x14ac:dyDescent="0.25">
      <c r="A12800" s="4">
        <v>12795</v>
      </c>
      <c r="B12800" s="3" t="str">
        <f>"00702896"</f>
        <v>00702896</v>
      </c>
    </row>
    <row r="12801" spans="1:2" x14ac:dyDescent="0.25">
      <c r="A12801" s="4">
        <v>12796</v>
      </c>
      <c r="B12801" s="3" t="str">
        <f>"00702897"</f>
        <v>00702897</v>
      </c>
    </row>
    <row r="12802" spans="1:2" x14ac:dyDescent="0.25">
      <c r="A12802" s="4">
        <v>12797</v>
      </c>
      <c r="B12802" s="3" t="str">
        <f>"00702908"</f>
        <v>00702908</v>
      </c>
    </row>
    <row r="12803" spans="1:2" x14ac:dyDescent="0.25">
      <c r="A12803" s="4">
        <v>12798</v>
      </c>
      <c r="B12803" s="3" t="str">
        <f>"00702922"</f>
        <v>00702922</v>
      </c>
    </row>
    <row r="12804" spans="1:2" x14ac:dyDescent="0.25">
      <c r="A12804" s="4">
        <v>12799</v>
      </c>
      <c r="B12804" s="3" t="str">
        <f>"00702924"</f>
        <v>00702924</v>
      </c>
    </row>
    <row r="12805" spans="1:2" x14ac:dyDescent="0.25">
      <c r="A12805" s="4">
        <v>12800</v>
      </c>
      <c r="B12805" s="3" t="str">
        <f>"00702934"</f>
        <v>00702934</v>
      </c>
    </row>
    <row r="12806" spans="1:2" x14ac:dyDescent="0.25">
      <c r="A12806" s="4">
        <v>12801</v>
      </c>
      <c r="B12806" s="3" t="str">
        <f>"00702935"</f>
        <v>00702935</v>
      </c>
    </row>
    <row r="12807" spans="1:2" x14ac:dyDescent="0.25">
      <c r="A12807" s="4">
        <v>12802</v>
      </c>
      <c r="B12807" s="3" t="str">
        <f>"00702936"</f>
        <v>00702936</v>
      </c>
    </row>
    <row r="12808" spans="1:2" x14ac:dyDescent="0.25">
      <c r="A12808" s="4">
        <v>12803</v>
      </c>
      <c r="B12808" s="3" t="str">
        <f>"00702938"</f>
        <v>00702938</v>
      </c>
    </row>
    <row r="12809" spans="1:2" x14ac:dyDescent="0.25">
      <c r="A12809" s="4">
        <v>12804</v>
      </c>
      <c r="B12809" s="3" t="str">
        <f>"00702946"</f>
        <v>00702946</v>
      </c>
    </row>
    <row r="12810" spans="1:2" x14ac:dyDescent="0.25">
      <c r="A12810" s="4">
        <v>12805</v>
      </c>
      <c r="B12810" s="3" t="str">
        <f>"00702947"</f>
        <v>00702947</v>
      </c>
    </row>
    <row r="12811" spans="1:2" x14ac:dyDescent="0.25">
      <c r="A12811" s="4">
        <v>12806</v>
      </c>
      <c r="B12811" s="3" t="str">
        <f>"00702949"</f>
        <v>00702949</v>
      </c>
    </row>
    <row r="12812" spans="1:2" x14ac:dyDescent="0.25">
      <c r="A12812" s="4">
        <v>12807</v>
      </c>
      <c r="B12812" s="3" t="str">
        <f>"00702951"</f>
        <v>00702951</v>
      </c>
    </row>
    <row r="12813" spans="1:2" x14ac:dyDescent="0.25">
      <c r="A12813" s="4">
        <v>12808</v>
      </c>
      <c r="B12813" s="3" t="str">
        <f>"00702954"</f>
        <v>00702954</v>
      </c>
    </row>
    <row r="12814" spans="1:2" x14ac:dyDescent="0.25">
      <c r="A12814" s="4">
        <v>12809</v>
      </c>
      <c r="B12814" s="3" t="str">
        <f>"00702957"</f>
        <v>00702957</v>
      </c>
    </row>
    <row r="12815" spans="1:2" x14ac:dyDescent="0.25">
      <c r="A12815" s="4">
        <v>12810</v>
      </c>
      <c r="B12815" s="3" t="str">
        <f>"00702965"</f>
        <v>00702965</v>
      </c>
    </row>
    <row r="12816" spans="1:2" x14ac:dyDescent="0.25">
      <c r="A12816" s="4">
        <v>12811</v>
      </c>
      <c r="B12816" s="3" t="str">
        <f>"00702979"</f>
        <v>00702979</v>
      </c>
    </row>
    <row r="12817" spans="1:2" x14ac:dyDescent="0.25">
      <c r="A12817" s="4">
        <v>12812</v>
      </c>
      <c r="B12817" s="3" t="str">
        <f>"00702985"</f>
        <v>00702985</v>
      </c>
    </row>
    <row r="12818" spans="1:2" x14ac:dyDescent="0.25">
      <c r="A12818" s="4">
        <v>12813</v>
      </c>
      <c r="B12818" s="3" t="str">
        <f>"00702987"</f>
        <v>00702987</v>
      </c>
    </row>
    <row r="12819" spans="1:2" x14ac:dyDescent="0.25">
      <c r="A12819" s="4">
        <v>12814</v>
      </c>
      <c r="B12819" s="3" t="str">
        <f>"00702993"</f>
        <v>00702993</v>
      </c>
    </row>
    <row r="12820" spans="1:2" x14ac:dyDescent="0.25">
      <c r="A12820" s="4">
        <v>12815</v>
      </c>
      <c r="B12820" s="3" t="str">
        <f>"00702995"</f>
        <v>00702995</v>
      </c>
    </row>
    <row r="12821" spans="1:2" x14ac:dyDescent="0.25">
      <c r="A12821" s="4">
        <v>12816</v>
      </c>
      <c r="B12821" s="3" t="str">
        <f>"00703000"</f>
        <v>00703000</v>
      </c>
    </row>
    <row r="12822" spans="1:2" x14ac:dyDescent="0.25">
      <c r="A12822" s="4">
        <v>12817</v>
      </c>
      <c r="B12822" s="3" t="str">
        <f>"00703005"</f>
        <v>00703005</v>
      </c>
    </row>
    <row r="12823" spans="1:2" x14ac:dyDescent="0.25">
      <c r="A12823" s="4">
        <v>12818</v>
      </c>
      <c r="B12823" s="3" t="str">
        <f>"00703007"</f>
        <v>00703007</v>
      </c>
    </row>
    <row r="12824" spans="1:2" x14ac:dyDescent="0.25">
      <c r="A12824" s="4">
        <v>12819</v>
      </c>
      <c r="B12824" s="3" t="str">
        <f>"00703017"</f>
        <v>00703017</v>
      </c>
    </row>
    <row r="12825" spans="1:2" x14ac:dyDescent="0.25">
      <c r="A12825" s="4">
        <v>12820</v>
      </c>
      <c r="B12825" s="3" t="str">
        <f>"00703022"</f>
        <v>00703022</v>
      </c>
    </row>
    <row r="12826" spans="1:2" x14ac:dyDescent="0.25">
      <c r="A12826" s="4">
        <v>12821</v>
      </c>
      <c r="B12826" s="3" t="str">
        <f>"00703023"</f>
        <v>00703023</v>
      </c>
    </row>
    <row r="12827" spans="1:2" x14ac:dyDescent="0.25">
      <c r="A12827" s="4">
        <v>12822</v>
      </c>
      <c r="B12827" s="3" t="str">
        <f>"00703029"</f>
        <v>00703029</v>
      </c>
    </row>
    <row r="12828" spans="1:2" x14ac:dyDescent="0.25">
      <c r="A12828" s="4">
        <v>12823</v>
      </c>
      <c r="B12828" s="3" t="str">
        <f>"00703030"</f>
        <v>00703030</v>
      </c>
    </row>
    <row r="12829" spans="1:2" x14ac:dyDescent="0.25">
      <c r="A12829" s="4">
        <v>12824</v>
      </c>
      <c r="B12829" s="3" t="str">
        <f>"00703032"</f>
        <v>00703032</v>
      </c>
    </row>
    <row r="12830" spans="1:2" x14ac:dyDescent="0.25">
      <c r="A12830" s="4">
        <v>12825</v>
      </c>
      <c r="B12830" s="3" t="str">
        <f>"00703036"</f>
        <v>00703036</v>
      </c>
    </row>
    <row r="12831" spans="1:2" x14ac:dyDescent="0.25">
      <c r="A12831" s="4">
        <v>12826</v>
      </c>
      <c r="B12831" s="3" t="str">
        <f>"00703037"</f>
        <v>00703037</v>
      </c>
    </row>
    <row r="12832" spans="1:2" x14ac:dyDescent="0.25">
      <c r="A12832" s="4">
        <v>12827</v>
      </c>
      <c r="B12832" s="3" t="str">
        <f>"00703041"</f>
        <v>00703041</v>
      </c>
    </row>
    <row r="12833" spans="1:2" x14ac:dyDescent="0.25">
      <c r="A12833" s="4">
        <v>12828</v>
      </c>
      <c r="B12833" s="3" t="str">
        <f>"00703050"</f>
        <v>00703050</v>
      </c>
    </row>
    <row r="12834" spans="1:2" x14ac:dyDescent="0.25">
      <c r="A12834" s="4">
        <v>12829</v>
      </c>
      <c r="B12834" s="3" t="str">
        <f>"00703053"</f>
        <v>00703053</v>
      </c>
    </row>
    <row r="12835" spans="1:2" x14ac:dyDescent="0.25">
      <c r="A12835" s="4">
        <v>12830</v>
      </c>
      <c r="B12835" s="3" t="str">
        <f>"00703061"</f>
        <v>00703061</v>
      </c>
    </row>
    <row r="12836" spans="1:2" x14ac:dyDescent="0.25">
      <c r="A12836" s="4">
        <v>12831</v>
      </c>
      <c r="B12836" s="3" t="str">
        <f>"00703064"</f>
        <v>00703064</v>
      </c>
    </row>
    <row r="12837" spans="1:2" x14ac:dyDescent="0.25">
      <c r="A12837" s="4">
        <v>12832</v>
      </c>
      <c r="B12837" s="3" t="str">
        <f>"00703070"</f>
        <v>00703070</v>
      </c>
    </row>
    <row r="12838" spans="1:2" x14ac:dyDescent="0.25">
      <c r="A12838" s="4">
        <v>12833</v>
      </c>
      <c r="B12838" s="3" t="str">
        <f>"00703071"</f>
        <v>00703071</v>
      </c>
    </row>
    <row r="12839" spans="1:2" x14ac:dyDescent="0.25">
      <c r="A12839" s="4">
        <v>12834</v>
      </c>
      <c r="B12839" s="3" t="str">
        <f>"00703075"</f>
        <v>00703075</v>
      </c>
    </row>
    <row r="12840" spans="1:2" x14ac:dyDescent="0.25">
      <c r="A12840" s="4">
        <v>12835</v>
      </c>
      <c r="B12840" s="3" t="str">
        <f>"00703078"</f>
        <v>00703078</v>
      </c>
    </row>
    <row r="12841" spans="1:2" x14ac:dyDescent="0.25">
      <c r="A12841" s="4">
        <v>12836</v>
      </c>
      <c r="B12841" s="3" t="str">
        <f>"00703080"</f>
        <v>00703080</v>
      </c>
    </row>
    <row r="12842" spans="1:2" x14ac:dyDescent="0.25">
      <c r="A12842" s="4">
        <v>12837</v>
      </c>
      <c r="B12842" s="3" t="str">
        <f>"00703083"</f>
        <v>00703083</v>
      </c>
    </row>
    <row r="12843" spans="1:2" x14ac:dyDescent="0.25">
      <c r="A12843" s="4">
        <v>12838</v>
      </c>
      <c r="B12843" s="3" t="str">
        <f>"00703087"</f>
        <v>00703087</v>
      </c>
    </row>
    <row r="12844" spans="1:2" x14ac:dyDescent="0.25">
      <c r="A12844" s="4">
        <v>12839</v>
      </c>
      <c r="B12844" s="3" t="str">
        <f>"00703091"</f>
        <v>00703091</v>
      </c>
    </row>
    <row r="12845" spans="1:2" x14ac:dyDescent="0.25">
      <c r="A12845" s="4">
        <v>12840</v>
      </c>
      <c r="B12845" s="3" t="str">
        <f>"00703105"</f>
        <v>00703105</v>
      </c>
    </row>
    <row r="12846" spans="1:2" x14ac:dyDescent="0.25">
      <c r="A12846" s="4">
        <v>12841</v>
      </c>
      <c r="B12846" s="3" t="str">
        <f>"00703107"</f>
        <v>00703107</v>
      </c>
    </row>
    <row r="12847" spans="1:2" x14ac:dyDescent="0.25">
      <c r="A12847" s="4">
        <v>12842</v>
      </c>
      <c r="B12847" s="3" t="str">
        <f>"00703113"</f>
        <v>00703113</v>
      </c>
    </row>
    <row r="12848" spans="1:2" x14ac:dyDescent="0.25">
      <c r="A12848" s="4">
        <v>12843</v>
      </c>
      <c r="B12848" s="3" t="str">
        <f>"00703117"</f>
        <v>00703117</v>
      </c>
    </row>
    <row r="12849" spans="1:2" x14ac:dyDescent="0.25">
      <c r="A12849" s="4">
        <v>12844</v>
      </c>
      <c r="B12849" s="3" t="str">
        <f>"00703118"</f>
        <v>00703118</v>
      </c>
    </row>
    <row r="12850" spans="1:2" x14ac:dyDescent="0.25">
      <c r="A12850" s="4">
        <v>12845</v>
      </c>
      <c r="B12850" s="3" t="str">
        <f>"00703133"</f>
        <v>00703133</v>
      </c>
    </row>
    <row r="12851" spans="1:2" x14ac:dyDescent="0.25">
      <c r="A12851" s="4">
        <v>12846</v>
      </c>
      <c r="B12851" s="3" t="str">
        <f>"00703136"</f>
        <v>00703136</v>
      </c>
    </row>
    <row r="12852" spans="1:2" x14ac:dyDescent="0.25">
      <c r="A12852" s="4">
        <v>12847</v>
      </c>
      <c r="B12852" s="3" t="str">
        <f>"00703147"</f>
        <v>00703147</v>
      </c>
    </row>
    <row r="12853" spans="1:2" x14ac:dyDescent="0.25">
      <c r="A12853" s="4">
        <v>12848</v>
      </c>
      <c r="B12853" s="3" t="str">
        <f>"00703152"</f>
        <v>00703152</v>
      </c>
    </row>
    <row r="12854" spans="1:2" x14ac:dyDescent="0.25">
      <c r="A12854" s="4">
        <v>12849</v>
      </c>
      <c r="B12854" s="3" t="str">
        <f>"00703156"</f>
        <v>00703156</v>
      </c>
    </row>
    <row r="12855" spans="1:2" x14ac:dyDescent="0.25">
      <c r="A12855" s="4">
        <v>12850</v>
      </c>
      <c r="B12855" s="3" t="str">
        <f>"00703165"</f>
        <v>00703165</v>
      </c>
    </row>
    <row r="12856" spans="1:2" x14ac:dyDescent="0.25">
      <c r="A12856" s="4">
        <v>12851</v>
      </c>
      <c r="B12856" s="3" t="str">
        <f>"00703166"</f>
        <v>00703166</v>
      </c>
    </row>
    <row r="12857" spans="1:2" x14ac:dyDescent="0.25">
      <c r="A12857" s="4">
        <v>12852</v>
      </c>
      <c r="B12857" s="3" t="str">
        <f>"00703169"</f>
        <v>00703169</v>
      </c>
    </row>
    <row r="12858" spans="1:2" x14ac:dyDescent="0.25">
      <c r="A12858" s="4">
        <v>12853</v>
      </c>
      <c r="B12858" s="3" t="str">
        <f>"00703190"</f>
        <v>00703190</v>
      </c>
    </row>
    <row r="12859" spans="1:2" x14ac:dyDescent="0.25">
      <c r="A12859" s="4">
        <v>12854</v>
      </c>
      <c r="B12859" s="3" t="str">
        <f>"00703191"</f>
        <v>00703191</v>
      </c>
    </row>
    <row r="12860" spans="1:2" x14ac:dyDescent="0.25">
      <c r="A12860" s="4">
        <v>12855</v>
      </c>
      <c r="B12860" s="3" t="str">
        <f>"00703197"</f>
        <v>00703197</v>
      </c>
    </row>
    <row r="12861" spans="1:2" x14ac:dyDescent="0.25">
      <c r="A12861" s="4">
        <v>12856</v>
      </c>
      <c r="B12861" s="3" t="str">
        <f>"00703202"</f>
        <v>00703202</v>
      </c>
    </row>
    <row r="12862" spans="1:2" x14ac:dyDescent="0.25">
      <c r="A12862" s="4">
        <v>12857</v>
      </c>
      <c r="B12862" s="3" t="str">
        <f>"00703205"</f>
        <v>00703205</v>
      </c>
    </row>
    <row r="12863" spans="1:2" x14ac:dyDescent="0.25">
      <c r="A12863" s="4">
        <v>12858</v>
      </c>
      <c r="B12863" s="3" t="str">
        <f>"00703210"</f>
        <v>00703210</v>
      </c>
    </row>
    <row r="12864" spans="1:2" x14ac:dyDescent="0.25">
      <c r="A12864" s="4">
        <v>12859</v>
      </c>
      <c r="B12864" s="3" t="str">
        <f>"00703214"</f>
        <v>00703214</v>
      </c>
    </row>
    <row r="12865" spans="1:2" x14ac:dyDescent="0.25">
      <c r="A12865" s="4">
        <v>12860</v>
      </c>
      <c r="B12865" s="3" t="str">
        <f>"00703216"</f>
        <v>00703216</v>
      </c>
    </row>
    <row r="12866" spans="1:2" x14ac:dyDescent="0.25">
      <c r="A12866" s="4">
        <v>12861</v>
      </c>
      <c r="B12866" s="3" t="str">
        <f>"00703218"</f>
        <v>00703218</v>
      </c>
    </row>
    <row r="12867" spans="1:2" x14ac:dyDescent="0.25">
      <c r="A12867" s="4">
        <v>12862</v>
      </c>
      <c r="B12867" s="3" t="str">
        <f>"00703222"</f>
        <v>00703222</v>
      </c>
    </row>
    <row r="12868" spans="1:2" x14ac:dyDescent="0.25">
      <c r="A12868" s="4">
        <v>12863</v>
      </c>
      <c r="B12868" s="3" t="str">
        <f>"00703223"</f>
        <v>00703223</v>
      </c>
    </row>
    <row r="12869" spans="1:2" x14ac:dyDescent="0.25">
      <c r="A12869" s="4">
        <v>12864</v>
      </c>
      <c r="B12869" s="3" t="str">
        <f>"00703232"</f>
        <v>00703232</v>
      </c>
    </row>
    <row r="12870" spans="1:2" x14ac:dyDescent="0.25">
      <c r="A12870" s="4">
        <v>12865</v>
      </c>
      <c r="B12870" s="3" t="str">
        <f>"00703238"</f>
        <v>00703238</v>
      </c>
    </row>
    <row r="12871" spans="1:2" x14ac:dyDescent="0.25">
      <c r="A12871" s="4">
        <v>12866</v>
      </c>
      <c r="B12871" s="3" t="str">
        <f>"00703239"</f>
        <v>00703239</v>
      </c>
    </row>
    <row r="12872" spans="1:2" x14ac:dyDescent="0.25">
      <c r="A12872" s="4">
        <v>12867</v>
      </c>
      <c r="B12872" s="3" t="str">
        <f>"00703243"</f>
        <v>00703243</v>
      </c>
    </row>
    <row r="12873" spans="1:2" x14ac:dyDescent="0.25">
      <c r="A12873" s="4">
        <v>12868</v>
      </c>
      <c r="B12873" s="3" t="str">
        <f>"00703255"</f>
        <v>00703255</v>
      </c>
    </row>
    <row r="12874" spans="1:2" x14ac:dyDescent="0.25">
      <c r="A12874" s="4">
        <v>12869</v>
      </c>
      <c r="B12874" s="3" t="str">
        <f>"00703259"</f>
        <v>00703259</v>
      </c>
    </row>
    <row r="12875" spans="1:2" x14ac:dyDescent="0.25">
      <c r="A12875" s="4">
        <v>12870</v>
      </c>
      <c r="B12875" s="3" t="str">
        <f>"00703263"</f>
        <v>00703263</v>
      </c>
    </row>
    <row r="12876" spans="1:2" x14ac:dyDescent="0.25">
      <c r="A12876" s="4">
        <v>12871</v>
      </c>
      <c r="B12876" s="3" t="str">
        <f>"00703266"</f>
        <v>00703266</v>
      </c>
    </row>
    <row r="12877" spans="1:2" x14ac:dyDescent="0.25">
      <c r="A12877" s="4">
        <v>12872</v>
      </c>
      <c r="B12877" s="3" t="str">
        <f>"00703267"</f>
        <v>00703267</v>
      </c>
    </row>
    <row r="12878" spans="1:2" x14ac:dyDescent="0.25">
      <c r="A12878" s="4">
        <v>12873</v>
      </c>
      <c r="B12878" s="3" t="str">
        <f>"00703286"</f>
        <v>00703286</v>
      </c>
    </row>
    <row r="12879" spans="1:2" x14ac:dyDescent="0.25">
      <c r="A12879" s="4">
        <v>12874</v>
      </c>
      <c r="B12879" s="3" t="str">
        <f>"00703287"</f>
        <v>00703287</v>
      </c>
    </row>
    <row r="12880" spans="1:2" x14ac:dyDescent="0.25">
      <c r="A12880" s="4">
        <v>12875</v>
      </c>
      <c r="B12880" s="3" t="str">
        <f>"00703294"</f>
        <v>00703294</v>
      </c>
    </row>
    <row r="12881" spans="1:2" x14ac:dyDescent="0.25">
      <c r="A12881" s="4">
        <v>12876</v>
      </c>
      <c r="B12881" s="3" t="str">
        <f>"00703311"</f>
        <v>00703311</v>
      </c>
    </row>
    <row r="12882" spans="1:2" x14ac:dyDescent="0.25">
      <c r="A12882" s="4">
        <v>12877</v>
      </c>
      <c r="B12882" s="3" t="str">
        <f>"00703319"</f>
        <v>00703319</v>
      </c>
    </row>
    <row r="12883" spans="1:2" x14ac:dyDescent="0.25">
      <c r="A12883" s="4">
        <v>12878</v>
      </c>
      <c r="B12883" s="3" t="str">
        <f>"00703324"</f>
        <v>00703324</v>
      </c>
    </row>
    <row r="12884" spans="1:2" x14ac:dyDescent="0.25">
      <c r="A12884" s="4">
        <v>12879</v>
      </c>
      <c r="B12884" s="3" t="str">
        <f>"00703325"</f>
        <v>00703325</v>
      </c>
    </row>
    <row r="12885" spans="1:2" x14ac:dyDescent="0.25">
      <c r="A12885" s="4">
        <v>12880</v>
      </c>
      <c r="B12885" s="3" t="str">
        <f>"00703326"</f>
        <v>00703326</v>
      </c>
    </row>
    <row r="12886" spans="1:2" x14ac:dyDescent="0.25">
      <c r="A12886" s="4">
        <v>12881</v>
      </c>
      <c r="B12886" s="3" t="str">
        <f>"00703330"</f>
        <v>00703330</v>
      </c>
    </row>
    <row r="12887" spans="1:2" x14ac:dyDescent="0.25">
      <c r="A12887" s="4">
        <v>12882</v>
      </c>
      <c r="B12887" s="3" t="str">
        <f>"00703333"</f>
        <v>00703333</v>
      </c>
    </row>
    <row r="12888" spans="1:2" x14ac:dyDescent="0.25">
      <c r="A12888" s="4">
        <v>12883</v>
      </c>
      <c r="B12888" s="3" t="str">
        <f>"00703340"</f>
        <v>00703340</v>
      </c>
    </row>
    <row r="12889" spans="1:2" x14ac:dyDescent="0.25">
      <c r="A12889" s="4">
        <v>12884</v>
      </c>
      <c r="B12889" s="3" t="str">
        <f>"00703358"</f>
        <v>00703358</v>
      </c>
    </row>
    <row r="12890" spans="1:2" x14ac:dyDescent="0.25">
      <c r="A12890" s="4">
        <v>12885</v>
      </c>
      <c r="B12890" s="3" t="str">
        <f>"00703359"</f>
        <v>00703359</v>
      </c>
    </row>
    <row r="12891" spans="1:2" x14ac:dyDescent="0.25">
      <c r="A12891" s="4">
        <v>12886</v>
      </c>
      <c r="B12891" s="3" t="str">
        <f>"00703367"</f>
        <v>00703367</v>
      </c>
    </row>
    <row r="12892" spans="1:2" x14ac:dyDescent="0.25">
      <c r="A12892" s="4">
        <v>12887</v>
      </c>
      <c r="B12892" s="3" t="str">
        <f>"00703370"</f>
        <v>00703370</v>
      </c>
    </row>
    <row r="12893" spans="1:2" x14ac:dyDescent="0.25">
      <c r="A12893" s="4">
        <v>12888</v>
      </c>
      <c r="B12893" s="3" t="str">
        <f>"00703372"</f>
        <v>00703372</v>
      </c>
    </row>
    <row r="12894" spans="1:2" x14ac:dyDescent="0.25">
      <c r="A12894" s="4">
        <v>12889</v>
      </c>
      <c r="B12894" s="3" t="str">
        <f>"00703373"</f>
        <v>00703373</v>
      </c>
    </row>
    <row r="12895" spans="1:2" x14ac:dyDescent="0.25">
      <c r="A12895" s="4">
        <v>12890</v>
      </c>
      <c r="B12895" s="3" t="str">
        <f>"00703382"</f>
        <v>00703382</v>
      </c>
    </row>
    <row r="12896" spans="1:2" x14ac:dyDescent="0.25">
      <c r="A12896" s="4">
        <v>12891</v>
      </c>
      <c r="B12896" s="3" t="str">
        <f>"00703395"</f>
        <v>00703395</v>
      </c>
    </row>
    <row r="12897" spans="1:2" x14ac:dyDescent="0.25">
      <c r="A12897" s="4">
        <v>12892</v>
      </c>
      <c r="B12897" s="3" t="str">
        <f>"00703399"</f>
        <v>00703399</v>
      </c>
    </row>
    <row r="12898" spans="1:2" x14ac:dyDescent="0.25">
      <c r="A12898" s="4">
        <v>12893</v>
      </c>
      <c r="B12898" s="3" t="str">
        <f>"00703404"</f>
        <v>00703404</v>
      </c>
    </row>
    <row r="12899" spans="1:2" x14ac:dyDescent="0.25">
      <c r="A12899" s="4">
        <v>12894</v>
      </c>
      <c r="B12899" s="3" t="str">
        <f>"00703414"</f>
        <v>00703414</v>
      </c>
    </row>
    <row r="12900" spans="1:2" x14ac:dyDescent="0.25">
      <c r="A12900" s="4">
        <v>12895</v>
      </c>
      <c r="B12900" s="3" t="str">
        <f>"00703417"</f>
        <v>00703417</v>
      </c>
    </row>
    <row r="12901" spans="1:2" x14ac:dyDescent="0.25">
      <c r="A12901" s="4">
        <v>12896</v>
      </c>
      <c r="B12901" s="3" t="str">
        <f>"00703420"</f>
        <v>00703420</v>
      </c>
    </row>
    <row r="12902" spans="1:2" x14ac:dyDescent="0.25">
      <c r="A12902" s="4">
        <v>12897</v>
      </c>
      <c r="B12902" s="3" t="str">
        <f>"00703422"</f>
        <v>00703422</v>
      </c>
    </row>
    <row r="12903" spans="1:2" x14ac:dyDescent="0.25">
      <c r="A12903" s="4">
        <v>12898</v>
      </c>
      <c r="B12903" s="3" t="str">
        <f>"00703425"</f>
        <v>00703425</v>
      </c>
    </row>
    <row r="12904" spans="1:2" x14ac:dyDescent="0.25">
      <c r="A12904" s="4">
        <v>12899</v>
      </c>
      <c r="B12904" s="3" t="str">
        <f>"00703451"</f>
        <v>00703451</v>
      </c>
    </row>
    <row r="12905" spans="1:2" x14ac:dyDescent="0.25">
      <c r="A12905" s="4">
        <v>12900</v>
      </c>
      <c r="B12905" s="3" t="str">
        <f>"00703456"</f>
        <v>00703456</v>
      </c>
    </row>
    <row r="12906" spans="1:2" x14ac:dyDescent="0.25">
      <c r="A12906" s="4">
        <v>12901</v>
      </c>
      <c r="B12906" s="3" t="str">
        <f>"00703457"</f>
        <v>00703457</v>
      </c>
    </row>
    <row r="12907" spans="1:2" x14ac:dyDescent="0.25">
      <c r="A12907" s="4">
        <v>12902</v>
      </c>
      <c r="B12907" s="3" t="str">
        <f>"00703462"</f>
        <v>00703462</v>
      </c>
    </row>
    <row r="12908" spans="1:2" x14ac:dyDescent="0.25">
      <c r="A12908" s="4">
        <v>12903</v>
      </c>
      <c r="B12908" s="3" t="str">
        <f>"00703474"</f>
        <v>00703474</v>
      </c>
    </row>
    <row r="12909" spans="1:2" x14ac:dyDescent="0.25">
      <c r="A12909" s="4">
        <v>12904</v>
      </c>
      <c r="B12909" s="3" t="str">
        <f>"00703475"</f>
        <v>00703475</v>
      </c>
    </row>
    <row r="12910" spans="1:2" x14ac:dyDescent="0.25">
      <c r="A12910" s="4">
        <v>12905</v>
      </c>
      <c r="B12910" s="3" t="str">
        <f>"00703480"</f>
        <v>00703480</v>
      </c>
    </row>
    <row r="12911" spans="1:2" x14ac:dyDescent="0.25">
      <c r="A12911" s="4">
        <v>12906</v>
      </c>
      <c r="B12911" s="3" t="str">
        <f>"00703484"</f>
        <v>00703484</v>
      </c>
    </row>
    <row r="12912" spans="1:2" x14ac:dyDescent="0.25">
      <c r="A12912" s="4">
        <v>12907</v>
      </c>
      <c r="B12912" s="3" t="str">
        <f>"00703491"</f>
        <v>00703491</v>
      </c>
    </row>
    <row r="12913" spans="1:2" x14ac:dyDescent="0.25">
      <c r="A12913" s="4">
        <v>12908</v>
      </c>
      <c r="B12913" s="3" t="str">
        <f>"00703509"</f>
        <v>00703509</v>
      </c>
    </row>
    <row r="12914" spans="1:2" x14ac:dyDescent="0.25">
      <c r="A12914" s="4">
        <v>12909</v>
      </c>
      <c r="B12914" s="3" t="str">
        <f>"00703511"</f>
        <v>00703511</v>
      </c>
    </row>
    <row r="12915" spans="1:2" x14ac:dyDescent="0.25">
      <c r="A12915" s="4">
        <v>12910</v>
      </c>
      <c r="B12915" s="3" t="str">
        <f>"00703513"</f>
        <v>00703513</v>
      </c>
    </row>
    <row r="12916" spans="1:2" x14ac:dyDescent="0.25">
      <c r="A12916" s="4">
        <v>12911</v>
      </c>
      <c r="B12916" s="3" t="str">
        <f>"00703517"</f>
        <v>00703517</v>
      </c>
    </row>
    <row r="12917" spans="1:2" x14ac:dyDescent="0.25">
      <c r="A12917" s="4">
        <v>12912</v>
      </c>
      <c r="B12917" s="3" t="str">
        <f>"00703525"</f>
        <v>00703525</v>
      </c>
    </row>
    <row r="12918" spans="1:2" x14ac:dyDescent="0.25">
      <c r="A12918" s="4">
        <v>12913</v>
      </c>
      <c r="B12918" s="3" t="str">
        <f>"00703532"</f>
        <v>00703532</v>
      </c>
    </row>
    <row r="12919" spans="1:2" x14ac:dyDescent="0.25">
      <c r="A12919" s="4">
        <v>12914</v>
      </c>
      <c r="B12919" s="3" t="str">
        <f>"00703561"</f>
        <v>00703561</v>
      </c>
    </row>
    <row r="12920" spans="1:2" x14ac:dyDescent="0.25">
      <c r="A12920" s="4">
        <v>12915</v>
      </c>
      <c r="B12920" s="3" t="str">
        <f>"00703564"</f>
        <v>00703564</v>
      </c>
    </row>
    <row r="12921" spans="1:2" x14ac:dyDescent="0.25">
      <c r="A12921" s="4">
        <v>12916</v>
      </c>
      <c r="B12921" s="3" t="str">
        <f>"00703571"</f>
        <v>00703571</v>
      </c>
    </row>
    <row r="12922" spans="1:2" x14ac:dyDescent="0.25">
      <c r="A12922" s="4">
        <v>12917</v>
      </c>
      <c r="B12922" s="3" t="str">
        <f>"00703587"</f>
        <v>00703587</v>
      </c>
    </row>
    <row r="12923" spans="1:2" x14ac:dyDescent="0.25">
      <c r="A12923" s="4">
        <v>12918</v>
      </c>
      <c r="B12923" s="3" t="str">
        <f>"00703590"</f>
        <v>00703590</v>
      </c>
    </row>
    <row r="12924" spans="1:2" x14ac:dyDescent="0.25">
      <c r="A12924" s="4">
        <v>12919</v>
      </c>
      <c r="B12924" s="3" t="str">
        <f>"00703591"</f>
        <v>00703591</v>
      </c>
    </row>
    <row r="12925" spans="1:2" x14ac:dyDescent="0.25">
      <c r="A12925" s="4">
        <v>12920</v>
      </c>
      <c r="B12925" s="3" t="str">
        <f>"00703615"</f>
        <v>00703615</v>
      </c>
    </row>
    <row r="12926" spans="1:2" x14ac:dyDescent="0.25">
      <c r="A12926" s="4">
        <v>12921</v>
      </c>
      <c r="B12926" s="3" t="str">
        <f>"00703623"</f>
        <v>00703623</v>
      </c>
    </row>
    <row r="12927" spans="1:2" x14ac:dyDescent="0.25">
      <c r="A12927" s="4">
        <v>12922</v>
      </c>
      <c r="B12927" s="3" t="str">
        <f>"00703644"</f>
        <v>00703644</v>
      </c>
    </row>
    <row r="12928" spans="1:2" x14ac:dyDescent="0.25">
      <c r="A12928" s="4">
        <v>12923</v>
      </c>
      <c r="B12928" s="3" t="str">
        <f>"00703653"</f>
        <v>00703653</v>
      </c>
    </row>
    <row r="12929" spans="1:2" x14ac:dyDescent="0.25">
      <c r="A12929" s="4">
        <v>12924</v>
      </c>
      <c r="B12929" s="3" t="str">
        <f>"00703664"</f>
        <v>00703664</v>
      </c>
    </row>
    <row r="12930" spans="1:2" x14ac:dyDescent="0.25">
      <c r="A12930" s="4">
        <v>12925</v>
      </c>
      <c r="B12930" s="3" t="str">
        <f>"00703668"</f>
        <v>00703668</v>
      </c>
    </row>
    <row r="12931" spans="1:2" x14ac:dyDescent="0.25">
      <c r="A12931" s="4">
        <v>12926</v>
      </c>
      <c r="B12931" s="3" t="str">
        <f>"00703670"</f>
        <v>00703670</v>
      </c>
    </row>
    <row r="12932" spans="1:2" x14ac:dyDescent="0.25">
      <c r="A12932" s="4">
        <v>12927</v>
      </c>
      <c r="B12932" s="3" t="str">
        <f>"00703682"</f>
        <v>00703682</v>
      </c>
    </row>
    <row r="12933" spans="1:2" x14ac:dyDescent="0.25">
      <c r="A12933" s="4">
        <v>12928</v>
      </c>
      <c r="B12933" s="3" t="str">
        <f>"00703703"</f>
        <v>00703703</v>
      </c>
    </row>
    <row r="12934" spans="1:2" x14ac:dyDescent="0.25">
      <c r="A12934" s="4">
        <v>12929</v>
      </c>
      <c r="B12934" s="3" t="str">
        <f>"00703705"</f>
        <v>00703705</v>
      </c>
    </row>
    <row r="12935" spans="1:2" x14ac:dyDescent="0.25">
      <c r="A12935" s="4">
        <v>12930</v>
      </c>
      <c r="B12935" s="3" t="str">
        <f>"00703714"</f>
        <v>00703714</v>
      </c>
    </row>
    <row r="12936" spans="1:2" x14ac:dyDescent="0.25">
      <c r="A12936" s="4">
        <v>12931</v>
      </c>
      <c r="B12936" s="3" t="str">
        <f>"00703718"</f>
        <v>00703718</v>
      </c>
    </row>
    <row r="12937" spans="1:2" x14ac:dyDescent="0.25">
      <c r="A12937" s="4">
        <v>12932</v>
      </c>
      <c r="B12937" s="3" t="str">
        <f>"00703733"</f>
        <v>00703733</v>
      </c>
    </row>
    <row r="12938" spans="1:2" x14ac:dyDescent="0.25">
      <c r="A12938" s="4">
        <v>12933</v>
      </c>
      <c r="B12938" s="3" t="str">
        <f>"00703737"</f>
        <v>00703737</v>
      </c>
    </row>
    <row r="12939" spans="1:2" x14ac:dyDescent="0.25">
      <c r="A12939" s="4">
        <v>12934</v>
      </c>
      <c r="B12939" s="3" t="str">
        <f>"00703744"</f>
        <v>00703744</v>
      </c>
    </row>
    <row r="12940" spans="1:2" x14ac:dyDescent="0.25">
      <c r="A12940" s="4">
        <v>12935</v>
      </c>
      <c r="B12940" s="3" t="str">
        <f>"00703746"</f>
        <v>00703746</v>
      </c>
    </row>
    <row r="12941" spans="1:2" x14ac:dyDescent="0.25">
      <c r="A12941" s="4">
        <v>12936</v>
      </c>
      <c r="B12941" s="3" t="str">
        <f>"00703748"</f>
        <v>00703748</v>
      </c>
    </row>
    <row r="12942" spans="1:2" x14ac:dyDescent="0.25">
      <c r="A12942" s="4">
        <v>12937</v>
      </c>
      <c r="B12942" s="3" t="str">
        <f>"00703757"</f>
        <v>00703757</v>
      </c>
    </row>
    <row r="12943" spans="1:2" x14ac:dyDescent="0.25">
      <c r="A12943" s="4">
        <v>12938</v>
      </c>
      <c r="B12943" s="3" t="str">
        <f>"00703758"</f>
        <v>00703758</v>
      </c>
    </row>
    <row r="12944" spans="1:2" x14ac:dyDescent="0.25">
      <c r="A12944" s="4">
        <v>12939</v>
      </c>
      <c r="B12944" s="3" t="str">
        <f>"00703766"</f>
        <v>00703766</v>
      </c>
    </row>
    <row r="12945" spans="1:2" x14ac:dyDescent="0.25">
      <c r="A12945" s="4">
        <v>12940</v>
      </c>
      <c r="B12945" s="3" t="str">
        <f>"00703775"</f>
        <v>00703775</v>
      </c>
    </row>
    <row r="12946" spans="1:2" x14ac:dyDescent="0.25">
      <c r="A12946" s="4">
        <v>12941</v>
      </c>
      <c r="B12946" s="3" t="str">
        <f>"00703778"</f>
        <v>00703778</v>
      </c>
    </row>
    <row r="12947" spans="1:2" x14ac:dyDescent="0.25">
      <c r="A12947" s="4">
        <v>12942</v>
      </c>
      <c r="B12947" s="3" t="str">
        <f>"00703793"</f>
        <v>00703793</v>
      </c>
    </row>
    <row r="12948" spans="1:2" x14ac:dyDescent="0.25">
      <c r="A12948" s="4">
        <v>12943</v>
      </c>
      <c r="B12948" s="3" t="str">
        <f>"00703795"</f>
        <v>00703795</v>
      </c>
    </row>
    <row r="12949" spans="1:2" x14ac:dyDescent="0.25">
      <c r="A12949" s="4">
        <v>12944</v>
      </c>
      <c r="B12949" s="3" t="str">
        <f>"00703801"</f>
        <v>00703801</v>
      </c>
    </row>
    <row r="12950" spans="1:2" x14ac:dyDescent="0.25">
      <c r="A12950" s="4">
        <v>12945</v>
      </c>
      <c r="B12950" s="3" t="str">
        <f>"00703806"</f>
        <v>00703806</v>
      </c>
    </row>
    <row r="12951" spans="1:2" x14ac:dyDescent="0.25">
      <c r="A12951" s="4">
        <v>12946</v>
      </c>
      <c r="B12951" s="3" t="str">
        <f>"00703813"</f>
        <v>00703813</v>
      </c>
    </row>
    <row r="12952" spans="1:2" x14ac:dyDescent="0.25">
      <c r="A12952" s="4">
        <v>12947</v>
      </c>
      <c r="B12952" s="3" t="str">
        <f>"00703818"</f>
        <v>00703818</v>
      </c>
    </row>
    <row r="12953" spans="1:2" x14ac:dyDescent="0.25">
      <c r="A12953" s="4">
        <v>12948</v>
      </c>
      <c r="B12953" s="3" t="str">
        <f>"00703820"</f>
        <v>00703820</v>
      </c>
    </row>
    <row r="12954" spans="1:2" x14ac:dyDescent="0.25">
      <c r="A12954" s="4">
        <v>12949</v>
      </c>
      <c r="B12954" s="3" t="str">
        <f>"00703824"</f>
        <v>00703824</v>
      </c>
    </row>
    <row r="12955" spans="1:2" x14ac:dyDescent="0.25">
      <c r="A12955" s="4">
        <v>12950</v>
      </c>
      <c r="B12955" s="3" t="str">
        <f>"00703827"</f>
        <v>00703827</v>
      </c>
    </row>
    <row r="12956" spans="1:2" x14ac:dyDescent="0.25">
      <c r="A12956" s="4">
        <v>12951</v>
      </c>
      <c r="B12956" s="3" t="str">
        <f>"00703836"</f>
        <v>00703836</v>
      </c>
    </row>
    <row r="12957" spans="1:2" x14ac:dyDescent="0.25">
      <c r="A12957" s="4">
        <v>12952</v>
      </c>
      <c r="B12957" s="3" t="str">
        <f>"00703847"</f>
        <v>00703847</v>
      </c>
    </row>
    <row r="12958" spans="1:2" x14ac:dyDescent="0.25">
      <c r="A12958" s="4">
        <v>12953</v>
      </c>
      <c r="B12958" s="3" t="str">
        <f>"00703862"</f>
        <v>00703862</v>
      </c>
    </row>
    <row r="12959" spans="1:2" x14ac:dyDescent="0.25">
      <c r="A12959" s="4">
        <v>12954</v>
      </c>
      <c r="B12959" s="3" t="str">
        <f>"00703863"</f>
        <v>00703863</v>
      </c>
    </row>
    <row r="12960" spans="1:2" x14ac:dyDescent="0.25">
      <c r="A12960" s="4">
        <v>12955</v>
      </c>
      <c r="B12960" s="3" t="str">
        <f>"00703868"</f>
        <v>00703868</v>
      </c>
    </row>
    <row r="12961" spans="1:2" x14ac:dyDescent="0.25">
      <c r="A12961" s="4">
        <v>12956</v>
      </c>
      <c r="B12961" s="3" t="str">
        <f>"00703872"</f>
        <v>00703872</v>
      </c>
    </row>
    <row r="12962" spans="1:2" x14ac:dyDescent="0.25">
      <c r="A12962" s="4">
        <v>12957</v>
      </c>
      <c r="B12962" s="3" t="str">
        <f>"00703874"</f>
        <v>00703874</v>
      </c>
    </row>
    <row r="12963" spans="1:2" x14ac:dyDescent="0.25">
      <c r="A12963" s="4">
        <v>12958</v>
      </c>
      <c r="B12963" s="3" t="str">
        <f>"00703875"</f>
        <v>00703875</v>
      </c>
    </row>
    <row r="12964" spans="1:2" x14ac:dyDescent="0.25">
      <c r="A12964" s="4">
        <v>12959</v>
      </c>
      <c r="B12964" s="3" t="str">
        <f>"00703879"</f>
        <v>00703879</v>
      </c>
    </row>
    <row r="12965" spans="1:2" x14ac:dyDescent="0.25">
      <c r="A12965" s="4">
        <v>12960</v>
      </c>
      <c r="B12965" s="3" t="str">
        <f>"00703886"</f>
        <v>00703886</v>
      </c>
    </row>
    <row r="12966" spans="1:2" x14ac:dyDescent="0.25">
      <c r="A12966" s="4">
        <v>12961</v>
      </c>
      <c r="B12966" s="3" t="str">
        <f>"00703893"</f>
        <v>00703893</v>
      </c>
    </row>
    <row r="12967" spans="1:2" x14ac:dyDescent="0.25">
      <c r="A12967" s="4">
        <v>12962</v>
      </c>
      <c r="B12967" s="3" t="str">
        <f>"00703898"</f>
        <v>00703898</v>
      </c>
    </row>
    <row r="12968" spans="1:2" x14ac:dyDescent="0.25">
      <c r="A12968" s="4">
        <v>12963</v>
      </c>
      <c r="B12968" s="3" t="str">
        <f>"00703900"</f>
        <v>00703900</v>
      </c>
    </row>
    <row r="12969" spans="1:2" x14ac:dyDescent="0.25">
      <c r="A12969" s="4">
        <v>12964</v>
      </c>
      <c r="B12969" s="3" t="str">
        <f>"00703904"</f>
        <v>00703904</v>
      </c>
    </row>
    <row r="12970" spans="1:2" x14ac:dyDescent="0.25">
      <c r="A12970" s="4">
        <v>12965</v>
      </c>
      <c r="B12970" s="3" t="str">
        <f>"00703913"</f>
        <v>00703913</v>
      </c>
    </row>
    <row r="12971" spans="1:2" x14ac:dyDescent="0.25">
      <c r="A12971" s="4">
        <v>12966</v>
      </c>
      <c r="B12971" s="3" t="str">
        <f>"00703914"</f>
        <v>00703914</v>
      </c>
    </row>
    <row r="12972" spans="1:2" x14ac:dyDescent="0.25">
      <c r="A12972" s="4">
        <v>12967</v>
      </c>
      <c r="B12972" s="3" t="str">
        <f>"00703923"</f>
        <v>00703923</v>
      </c>
    </row>
    <row r="12973" spans="1:2" x14ac:dyDescent="0.25">
      <c r="A12973" s="4">
        <v>12968</v>
      </c>
      <c r="B12973" s="3" t="str">
        <f>"00703927"</f>
        <v>00703927</v>
      </c>
    </row>
    <row r="12974" spans="1:2" x14ac:dyDescent="0.25">
      <c r="A12974" s="4">
        <v>12969</v>
      </c>
      <c r="B12974" s="3" t="str">
        <f>"00703954"</f>
        <v>00703954</v>
      </c>
    </row>
    <row r="12975" spans="1:2" x14ac:dyDescent="0.25">
      <c r="A12975" s="4">
        <v>12970</v>
      </c>
      <c r="B12975" s="3" t="str">
        <f>"00703963"</f>
        <v>00703963</v>
      </c>
    </row>
    <row r="12976" spans="1:2" x14ac:dyDescent="0.25">
      <c r="A12976" s="4">
        <v>12971</v>
      </c>
      <c r="B12976" s="3" t="str">
        <f>"00703974"</f>
        <v>00703974</v>
      </c>
    </row>
    <row r="12977" spans="1:2" x14ac:dyDescent="0.25">
      <c r="A12977" s="4">
        <v>12972</v>
      </c>
      <c r="B12977" s="3" t="str">
        <f>"00703975"</f>
        <v>00703975</v>
      </c>
    </row>
    <row r="12978" spans="1:2" x14ac:dyDescent="0.25">
      <c r="A12978" s="4">
        <v>12973</v>
      </c>
      <c r="B12978" s="3" t="str">
        <f>"00703978"</f>
        <v>00703978</v>
      </c>
    </row>
    <row r="12979" spans="1:2" x14ac:dyDescent="0.25">
      <c r="A12979" s="4">
        <v>12974</v>
      </c>
      <c r="B12979" s="3" t="str">
        <f>"00703986"</f>
        <v>00703986</v>
      </c>
    </row>
    <row r="12980" spans="1:2" x14ac:dyDescent="0.25">
      <c r="A12980" s="4">
        <v>12975</v>
      </c>
      <c r="B12980" s="3" t="str">
        <f>"00703990"</f>
        <v>00703990</v>
      </c>
    </row>
    <row r="12981" spans="1:2" x14ac:dyDescent="0.25">
      <c r="A12981" s="4">
        <v>12976</v>
      </c>
      <c r="B12981" s="3" t="str">
        <f>"00703993"</f>
        <v>00703993</v>
      </c>
    </row>
    <row r="12982" spans="1:2" x14ac:dyDescent="0.25">
      <c r="A12982" s="4">
        <v>12977</v>
      </c>
      <c r="B12982" s="3" t="str">
        <f>"00703997"</f>
        <v>00703997</v>
      </c>
    </row>
    <row r="12983" spans="1:2" x14ac:dyDescent="0.25">
      <c r="A12983" s="4">
        <v>12978</v>
      </c>
      <c r="B12983" s="3" t="str">
        <f>"00704000"</f>
        <v>00704000</v>
      </c>
    </row>
    <row r="12984" spans="1:2" x14ac:dyDescent="0.25">
      <c r="A12984" s="4">
        <v>12979</v>
      </c>
      <c r="B12984" s="3" t="str">
        <f>"00704003"</f>
        <v>00704003</v>
      </c>
    </row>
    <row r="12985" spans="1:2" x14ac:dyDescent="0.25">
      <c r="A12985" s="4">
        <v>12980</v>
      </c>
      <c r="B12985" s="3" t="str">
        <f>"00704008"</f>
        <v>00704008</v>
      </c>
    </row>
    <row r="12986" spans="1:2" x14ac:dyDescent="0.25">
      <c r="A12986" s="4">
        <v>12981</v>
      </c>
      <c r="B12986" s="3" t="str">
        <f>"00704019"</f>
        <v>00704019</v>
      </c>
    </row>
    <row r="12987" spans="1:2" x14ac:dyDescent="0.25">
      <c r="A12987" s="4">
        <v>12982</v>
      </c>
      <c r="B12987" s="3" t="str">
        <f>"00704037"</f>
        <v>00704037</v>
      </c>
    </row>
    <row r="12988" spans="1:2" x14ac:dyDescent="0.25">
      <c r="A12988" s="4">
        <v>12983</v>
      </c>
      <c r="B12988" s="3" t="str">
        <f>"00704045"</f>
        <v>00704045</v>
      </c>
    </row>
    <row r="12989" spans="1:2" x14ac:dyDescent="0.25">
      <c r="A12989" s="4">
        <v>12984</v>
      </c>
      <c r="B12989" s="3" t="str">
        <f>"00704052"</f>
        <v>00704052</v>
      </c>
    </row>
    <row r="12990" spans="1:2" x14ac:dyDescent="0.25">
      <c r="A12990" s="4">
        <v>12985</v>
      </c>
      <c r="B12990" s="3" t="str">
        <f>"00704053"</f>
        <v>00704053</v>
      </c>
    </row>
    <row r="12991" spans="1:2" x14ac:dyDescent="0.25">
      <c r="A12991" s="4">
        <v>12986</v>
      </c>
      <c r="B12991" s="3" t="str">
        <f>"00704057"</f>
        <v>00704057</v>
      </c>
    </row>
    <row r="12992" spans="1:2" x14ac:dyDescent="0.25">
      <c r="A12992" s="4">
        <v>12987</v>
      </c>
      <c r="B12992" s="3" t="str">
        <f>"00704060"</f>
        <v>00704060</v>
      </c>
    </row>
    <row r="12993" spans="1:2" x14ac:dyDescent="0.25">
      <c r="A12993" s="4">
        <v>12988</v>
      </c>
      <c r="B12993" s="3" t="str">
        <f>"00704072"</f>
        <v>00704072</v>
      </c>
    </row>
    <row r="12994" spans="1:2" x14ac:dyDescent="0.25">
      <c r="A12994" s="4">
        <v>12989</v>
      </c>
      <c r="B12994" s="3" t="str">
        <f>"00704080"</f>
        <v>00704080</v>
      </c>
    </row>
    <row r="12995" spans="1:2" x14ac:dyDescent="0.25">
      <c r="A12995" s="4">
        <v>12990</v>
      </c>
      <c r="B12995" s="3" t="str">
        <f>"00704083"</f>
        <v>00704083</v>
      </c>
    </row>
    <row r="12996" spans="1:2" x14ac:dyDescent="0.25">
      <c r="A12996" s="4">
        <v>12991</v>
      </c>
      <c r="B12996" s="3" t="str">
        <f>"00704086"</f>
        <v>00704086</v>
      </c>
    </row>
    <row r="12997" spans="1:2" x14ac:dyDescent="0.25">
      <c r="A12997" s="4">
        <v>12992</v>
      </c>
      <c r="B12997" s="3" t="str">
        <f>"00704090"</f>
        <v>00704090</v>
      </c>
    </row>
    <row r="12998" spans="1:2" x14ac:dyDescent="0.25">
      <c r="A12998" s="4">
        <v>12993</v>
      </c>
      <c r="B12998" s="3" t="str">
        <f>"00704094"</f>
        <v>00704094</v>
      </c>
    </row>
    <row r="12999" spans="1:2" x14ac:dyDescent="0.25">
      <c r="A12999" s="4">
        <v>12994</v>
      </c>
      <c r="B12999" s="3" t="str">
        <f>"00704102"</f>
        <v>00704102</v>
      </c>
    </row>
    <row r="13000" spans="1:2" x14ac:dyDescent="0.25">
      <c r="A13000" s="4">
        <v>12995</v>
      </c>
      <c r="B13000" s="3" t="str">
        <f>"00704106"</f>
        <v>00704106</v>
      </c>
    </row>
    <row r="13001" spans="1:2" x14ac:dyDescent="0.25">
      <c r="A13001" s="4">
        <v>12996</v>
      </c>
      <c r="B13001" s="3" t="str">
        <f>"00704107"</f>
        <v>00704107</v>
      </c>
    </row>
    <row r="13002" spans="1:2" x14ac:dyDescent="0.25">
      <c r="A13002" s="4">
        <v>12997</v>
      </c>
      <c r="B13002" s="3" t="str">
        <f>"00704114"</f>
        <v>00704114</v>
      </c>
    </row>
    <row r="13003" spans="1:2" x14ac:dyDescent="0.25">
      <c r="A13003" s="4">
        <v>12998</v>
      </c>
      <c r="B13003" s="3" t="str">
        <f>"00704124"</f>
        <v>00704124</v>
      </c>
    </row>
    <row r="13004" spans="1:2" x14ac:dyDescent="0.25">
      <c r="A13004" s="4">
        <v>12999</v>
      </c>
      <c r="B13004" s="3" t="str">
        <f>"00704134"</f>
        <v>00704134</v>
      </c>
    </row>
    <row r="13005" spans="1:2" x14ac:dyDescent="0.25">
      <c r="A13005" s="4">
        <v>13000</v>
      </c>
      <c r="B13005" s="3" t="str">
        <f>"00704156"</f>
        <v>00704156</v>
      </c>
    </row>
    <row r="13006" spans="1:2" x14ac:dyDescent="0.25">
      <c r="A13006" s="4">
        <v>13001</v>
      </c>
      <c r="B13006" s="3" t="str">
        <f>"00704194"</f>
        <v>00704194</v>
      </c>
    </row>
    <row r="13007" spans="1:2" x14ac:dyDescent="0.25">
      <c r="A13007" s="4">
        <v>13002</v>
      </c>
      <c r="B13007" s="3" t="str">
        <f>"00704206"</f>
        <v>00704206</v>
      </c>
    </row>
    <row r="13008" spans="1:2" x14ac:dyDescent="0.25">
      <c r="A13008" s="4">
        <v>13003</v>
      </c>
      <c r="B13008" s="3" t="str">
        <f>"00704214"</f>
        <v>00704214</v>
      </c>
    </row>
    <row r="13009" spans="1:2" x14ac:dyDescent="0.25">
      <c r="A13009" s="4">
        <v>13004</v>
      </c>
      <c r="B13009" s="3" t="str">
        <f>"00704216"</f>
        <v>00704216</v>
      </c>
    </row>
    <row r="13010" spans="1:2" x14ac:dyDescent="0.25">
      <c r="A13010" s="4">
        <v>13005</v>
      </c>
      <c r="B13010" s="3" t="str">
        <f>"00704226"</f>
        <v>00704226</v>
      </c>
    </row>
    <row r="13011" spans="1:2" x14ac:dyDescent="0.25">
      <c r="A13011" s="4">
        <v>13006</v>
      </c>
      <c r="B13011" s="3" t="str">
        <f>"00704231"</f>
        <v>00704231</v>
      </c>
    </row>
    <row r="13012" spans="1:2" x14ac:dyDescent="0.25">
      <c r="A13012" s="4">
        <v>13007</v>
      </c>
      <c r="B13012" s="3" t="str">
        <f>"00704236"</f>
        <v>00704236</v>
      </c>
    </row>
    <row r="13013" spans="1:2" x14ac:dyDescent="0.25">
      <c r="A13013" s="4">
        <v>13008</v>
      </c>
      <c r="B13013" s="3" t="str">
        <f>"00704240"</f>
        <v>00704240</v>
      </c>
    </row>
    <row r="13014" spans="1:2" x14ac:dyDescent="0.25">
      <c r="A13014" s="4">
        <v>13009</v>
      </c>
      <c r="B13014" s="3" t="str">
        <f>"00704245"</f>
        <v>00704245</v>
      </c>
    </row>
    <row r="13015" spans="1:2" x14ac:dyDescent="0.25">
      <c r="A13015" s="4">
        <v>13010</v>
      </c>
      <c r="B13015" s="3" t="str">
        <f>"00704250"</f>
        <v>00704250</v>
      </c>
    </row>
    <row r="13016" spans="1:2" x14ac:dyDescent="0.25">
      <c r="A13016" s="4">
        <v>13011</v>
      </c>
      <c r="B13016" s="3" t="str">
        <f>"00704252"</f>
        <v>00704252</v>
      </c>
    </row>
    <row r="13017" spans="1:2" x14ac:dyDescent="0.25">
      <c r="A13017" s="4">
        <v>13012</v>
      </c>
      <c r="B13017" s="3" t="str">
        <f>"00704255"</f>
        <v>00704255</v>
      </c>
    </row>
    <row r="13018" spans="1:2" x14ac:dyDescent="0.25">
      <c r="A13018" s="4">
        <v>13013</v>
      </c>
      <c r="B13018" s="3" t="str">
        <f>"00704263"</f>
        <v>00704263</v>
      </c>
    </row>
    <row r="13019" spans="1:2" x14ac:dyDescent="0.25">
      <c r="A13019" s="4">
        <v>13014</v>
      </c>
      <c r="B13019" s="3" t="str">
        <f>"00704277"</f>
        <v>00704277</v>
      </c>
    </row>
    <row r="13020" spans="1:2" x14ac:dyDescent="0.25">
      <c r="A13020" s="4">
        <v>13015</v>
      </c>
      <c r="B13020" s="3" t="str">
        <f>"00704287"</f>
        <v>00704287</v>
      </c>
    </row>
    <row r="13021" spans="1:2" x14ac:dyDescent="0.25">
      <c r="A13021" s="4">
        <v>13016</v>
      </c>
      <c r="B13021" s="3" t="str">
        <f>"00704295"</f>
        <v>00704295</v>
      </c>
    </row>
    <row r="13022" spans="1:2" x14ac:dyDescent="0.25">
      <c r="A13022" s="4">
        <v>13017</v>
      </c>
      <c r="B13022" s="3" t="str">
        <f>"00704311"</f>
        <v>00704311</v>
      </c>
    </row>
    <row r="13023" spans="1:2" x14ac:dyDescent="0.25">
      <c r="A13023" s="4">
        <v>13018</v>
      </c>
      <c r="B13023" s="3" t="str">
        <f>"00704320"</f>
        <v>00704320</v>
      </c>
    </row>
    <row r="13024" spans="1:2" x14ac:dyDescent="0.25">
      <c r="A13024" s="4">
        <v>13019</v>
      </c>
      <c r="B13024" s="3" t="str">
        <f>"00704322"</f>
        <v>00704322</v>
      </c>
    </row>
    <row r="13025" spans="1:2" x14ac:dyDescent="0.25">
      <c r="A13025" s="4">
        <v>13020</v>
      </c>
      <c r="B13025" s="3" t="str">
        <f>"00704337"</f>
        <v>00704337</v>
      </c>
    </row>
    <row r="13026" spans="1:2" x14ac:dyDescent="0.25">
      <c r="A13026" s="4">
        <v>13021</v>
      </c>
      <c r="B13026" s="3" t="str">
        <f>"00704339"</f>
        <v>00704339</v>
      </c>
    </row>
    <row r="13027" spans="1:2" x14ac:dyDescent="0.25">
      <c r="A13027" s="4">
        <v>13022</v>
      </c>
      <c r="B13027" s="3" t="str">
        <f>"00704340"</f>
        <v>00704340</v>
      </c>
    </row>
    <row r="13028" spans="1:2" x14ac:dyDescent="0.25">
      <c r="A13028" s="4">
        <v>13023</v>
      </c>
      <c r="B13028" s="3" t="str">
        <f>"00704360"</f>
        <v>00704360</v>
      </c>
    </row>
    <row r="13029" spans="1:2" x14ac:dyDescent="0.25">
      <c r="A13029" s="4">
        <v>13024</v>
      </c>
      <c r="B13029" s="3" t="str">
        <f>"00704383"</f>
        <v>00704383</v>
      </c>
    </row>
    <row r="13030" spans="1:2" x14ac:dyDescent="0.25">
      <c r="A13030" s="4">
        <v>13025</v>
      </c>
      <c r="B13030" s="3" t="str">
        <f>"00704387"</f>
        <v>00704387</v>
      </c>
    </row>
    <row r="13031" spans="1:2" x14ac:dyDescent="0.25">
      <c r="A13031" s="4">
        <v>13026</v>
      </c>
      <c r="B13031" s="3" t="str">
        <f>"00704388"</f>
        <v>00704388</v>
      </c>
    </row>
    <row r="13032" spans="1:2" x14ac:dyDescent="0.25">
      <c r="A13032" s="4">
        <v>13027</v>
      </c>
      <c r="B13032" s="3" t="str">
        <f>"00704402"</f>
        <v>00704402</v>
      </c>
    </row>
    <row r="13033" spans="1:2" x14ac:dyDescent="0.25">
      <c r="A13033" s="4">
        <v>13028</v>
      </c>
      <c r="B13033" s="3" t="str">
        <f>"00704408"</f>
        <v>00704408</v>
      </c>
    </row>
    <row r="13034" spans="1:2" x14ac:dyDescent="0.25">
      <c r="A13034" s="4">
        <v>13029</v>
      </c>
      <c r="B13034" s="3" t="str">
        <f>"00704409"</f>
        <v>00704409</v>
      </c>
    </row>
    <row r="13035" spans="1:2" x14ac:dyDescent="0.25">
      <c r="A13035" s="4">
        <v>13030</v>
      </c>
      <c r="B13035" s="3" t="str">
        <f>"00704410"</f>
        <v>00704410</v>
      </c>
    </row>
    <row r="13036" spans="1:2" x14ac:dyDescent="0.25">
      <c r="A13036" s="4">
        <v>13031</v>
      </c>
      <c r="B13036" s="3" t="str">
        <f>"00704416"</f>
        <v>00704416</v>
      </c>
    </row>
    <row r="13037" spans="1:2" x14ac:dyDescent="0.25">
      <c r="A13037" s="4">
        <v>13032</v>
      </c>
      <c r="B13037" s="3" t="str">
        <f>"00704420"</f>
        <v>00704420</v>
      </c>
    </row>
    <row r="13038" spans="1:2" x14ac:dyDescent="0.25">
      <c r="A13038" s="4">
        <v>13033</v>
      </c>
      <c r="B13038" s="3" t="str">
        <f>"00704423"</f>
        <v>00704423</v>
      </c>
    </row>
    <row r="13039" spans="1:2" x14ac:dyDescent="0.25">
      <c r="A13039" s="4">
        <v>13034</v>
      </c>
      <c r="B13039" s="3" t="str">
        <f>"00704434"</f>
        <v>00704434</v>
      </c>
    </row>
    <row r="13040" spans="1:2" x14ac:dyDescent="0.25">
      <c r="A13040" s="4">
        <v>13035</v>
      </c>
      <c r="B13040" s="3" t="str">
        <f>"00704437"</f>
        <v>00704437</v>
      </c>
    </row>
    <row r="13041" spans="1:2" x14ac:dyDescent="0.25">
      <c r="A13041" s="4">
        <v>13036</v>
      </c>
      <c r="B13041" s="3" t="str">
        <f>"00704445"</f>
        <v>00704445</v>
      </c>
    </row>
    <row r="13042" spans="1:2" x14ac:dyDescent="0.25">
      <c r="A13042" s="4">
        <v>13037</v>
      </c>
      <c r="B13042" s="3" t="str">
        <f>"00704470"</f>
        <v>00704470</v>
      </c>
    </row>
    <row r="13043" spans="1:2" x14ac:dyDescent="0.25">
      <c r="A13043" s="4">
        <v>13038</v>
      </c>
      <c r="B13043" s="3" t="str">
        <f>"00704471"</f>
        <v>00704471</v>
      </c>
    </row>
    <row r="13044" spans="1:2" x14ac:dyDescent="0.25">
      <c r="A13044" s="4">
        <v>13039</v>
      </c>
      <c r="B13044" s="3" t="str">
        <f>"00704480"</f>
        <v>00704480</v>
      </c>
    </row>
    <row r="13045" spans="1:2" x14ac:dyDescent="0.25">
      <c r="A13045" s="4">
        <v>13040</v>
      </c>
      <c r="B13045" s="3" t="str">
        <f>"00704481"</f>
        <v>00704481</v>
      </c>
    </row>
    <row r="13046" spans="1:2" x14ac:dyDescent="0.25">
      <c r="A13046" s="4">
        <v>13041</v>
      </c>
      <c r="B13046" s="3" t="str">
        <f>"00704484"</f>
        <v>00704484</v>
      </c>
    </row>
    <row r="13047" spans="1:2" x14ac:dyDescent="0.25">
      <c r="A13047" s="4">
        <v>13042</v>
      </c>
      <c r="B13047" s="3" t="str">
        <f>"00704489"</f>
        <v>00704489</v>
      </c>
    </row>
    <row r="13048" spans="1:2" x14ac:dyDescent="0.25">
      <c r="A13048" s="4">
        <v>13043</v>
      </c>
      <c r="B13048" s="3" t="str">
        <f>"00704510"</f>
        <v>00704510</v>
      </c>
    </row>
    <row r="13049" spans="1:2" x14ac:dyDescent="0.25">
      <c r="A13049" s="4">
        <v>13044</v>
      </c>
      <c r="B13049" s="3" t="str">
        <f>"00704516"</f>
        <v>00704516</v>
      </c>
    </row>
    <row r="13050" spans="1:2" x14ac:dyDescent="0.25">
      <c r="A13050" s="4">
        <v>13045</v>
      </c>
      <c r="B13050" s="3" t="str">
        <f>"00704538"</f>
        <v>00704538</v>
      </c>
    </row>
    <row r="13051" spans="1:2" x14ac:dyDescent="0.25">
      <c r="A13051" s="4">
        <v>13046</v>
      </c>
      <c r="B13051" s="3" t="str">
        <f>"00704541"</f>
        <v>00704541</v>
      </c>
    </row>
    <row r="13052" spans="1:2" x14ac:dyDescent="0.25">
      <c r="A13052" s="4">
        <v>13047</v>
      </c>
      <c r="B13052" s="3" t="str">
        <f>"00704555"</f>
        <v>00704555</v>
      </c>
    </row>
    <row r="13053" spans="1:2" x14ac:dyDescent="0.25">
      <c r="A13053" s="4">
        <v>13048</v>
      </c>
      <c r="B13053" s="3" t="str">
        <f>"00704561"</f>
        <v>00704561</v>
      </c>
    </row>
    <row r="13054" spans="1:2" x14ac:dyDescent="0.25">
      <c r="A13054" s="4">
        <v>13049</v>
      </c>
      <c r="B13054" s="3" t="str">
        <f>"00704564"</f>
        <v>00704564</v>
      </c>
    </row>
    <row r="13055" spans="1:2" x14ac:dyDescent="0.25">
      <c r="A13055" s="4">
        <v>13050</v>
      </c>
      <c r="B13055" s="3" t="str">
        <f>"00704565"</f>
        <v>00704565</v>
      </c>
    </row>
    <row r="13056" spans="1:2" x14ac:dyDescent="0.25">
      <c r="A13056" s="4">
        <v>13051</v>
      </c>
      <c r="B13056" s="3" t="str">
        <f>"00704593"</f>
        <v>00704593</v>
      </c>
    </row>
    <row r="13057" spans="1:2" x14ac:dyDescent="0.25">
      <c r="A13057" s="4">
        <v>13052</v>
      </c>
      <c r="B13057" s="3" t="str">
        <f>"00704597"</f>
        <v>00704597</v>
      </c>
    </row>
    <row r="13058" spans="1:2" x14ac:dyDescent="0.25">
      <c r="A13058" s="4">
        <v>13053</v>
      </c>
      <c r="B13058" s="3" t="str">
        <f>"00704601"</f>
        <v>00704601</v>
      </c>
    </row>
    <row r="13059" spans="1:2" x14ac:dyDescent="0.25">
      <c r="A13059" s="4">
        <v>13054</v>
      </c>
      <c r="B13059" s="3" t="str">
        <f>"00704617"</f>
        <v>00704617</v>
      </c>
    </row>
    <row r="13060" spans="1:2" x14ac:dyDescent="0.25">
      <c r="A13060" s="4">
        <v>13055</v>
      </c>
      <c r="B13060" s="3" t="str">
        <f>"00704625"</f>
        <v>00704625</v>
      </c>
    </row>
    <row r="13061" spans="1:2" x14ac:dyDescent="0.25">
      <c r="A13061" s="4">
        <v>13056</v>
      </c>
      <c r="B13061" s="3" t="str">
        <f>"00704626"</f>
        <v>00704626</v>
      </c>
    </row>
    <row r="13062" spans="1:2" x14ac:dyDescent="0.25">
      <c r="A13062" s="4">
        <v>13057</v>
      </c>
      <c r="B13062" s="3" t="str">
        <f>"00704643"</f>
        <v>00704643</v>
      </c>
    </row>
    <row r="13063" spans="1:2" x14ac:dyDescent="0.25">
      <c r="A13063" s="4">
        <v>13058</v>
      </c>
      <c r="B13063" s="3" t="str">
        <f>"00704648"</f>
        <v>00704648</v>
      </c>
    </row>
    <row r="13064" spans="1:2" x14ac:dyDescent="0.25">
      <c r="A13064" s="4">
        <v>13059</v>
      </c>
      <c r="B13064" s="3" t="str">
        <f>"00704687"</f>
        <v>00704687</v>
      </c>
    </row>
    <row r="13065" spans="1:2" x14ac:dyDescent="0.25">
      <c r="A13065" s="4">
        <v>13060</v>
      </c>
      <c r="B13065" s="3" t="str">
        <f>"00704691"</f>
        <v>00704691</v>
      </c>
    </row>
    <row r="13066" spans="1:2" x14ac:dyDescent="0.25">
      <c r="A13066" s="4">
        <v>13061</v>
      </c>
      <c r="B13066" s="3" t="str">
        <f>"00704692"</f>
        <v>00704692</v>
      </c>
    </row>
    <row r="13067" spans="1:2" x14ac:dyDescent="0.25">
      <c r="A13067" s="4">
        <v>13062</v>
      </c>
      <c r="B13067" s="3" t="str">
        <f>"00704721"</f>
        <v>00704721</v>
      </c>
    </row>
    <row r="13068" spans="1:2" x14ac:dyDescent="0.25">
      <c r="A13068" s="4">
        <v>13063</v>
      </c>
      <c r="B13068" s="3" t="str">
        <f>"00704723"</f>
        <v>00704723</v>
      </c>
    </row>
    <row r="13069" spans="1:2" x14ac:dyDescent="0.25">
      <c r="A13069" s="4">
        <v>13064</v>
      </c>
      <c r="B13069" s="3" t="str">
        <f>"00704724"</f>
        <v>00704724</v>
      </c>
    </row>
    <row r="13070" spans="1:2" x14ac:dyDescent="0.25">
      <c r="A13070" s="4">
        <v>13065</v>
      </c>
      <c r="B13070" s="3" t="str">
        <f>"00704725"</f>
        <v>00704725</v>
      </c>
    </row>
    <row r="13071" spans="1:2" x14ac:dyDescent="0.25">
      <c r="A13071" s="4">
        <v>13066</v>
      </c>
      <c r="B13071" s="3" t="str">
        <f>"00704732"</f>
        <v>00704732</v>
      </c>
    </row>
    <row r="13072" spans="1:2" x14ac:dyDescent="0.25">
      <c r="A13072" s="4">
        <v>13067</v>
      </c>
      <c r="B13072" s="3" t="str">
        <f>"00704743"</f>
        <v>00704743</v>
      </c>
    </row>
    <row r="13073" spans="1:2" x14ac:dyDescent="0.25">
      <c r="A13073" s="4">
        <v>13068</v>
      </c>
      <c r="B13073" s="3" t="str">
        <f>"00704744"</f>
        <v>00704744</v>
      </c>
    </row>
    <row r="13074" spans="1:2" x14ac:dyDescent="0.25">
      <c r="A13074" s="4">
        <v>13069</v>
      </c>
      <c r="B13074" s="3" t="str">
        <f>"00704749"</f>
        <v>00704749</v>
      </c>
    </row>
    <row r="13075" spans="1:2" x14ac:dyDescent="0.25">
      <c r="A13075" s="4">
        <v>13070</v>
      </c>
      <c r="B13075" s="3" t="str">
        <f>"00704754"</f>
        <v>00704754</v>
      </c>
    </row>
    <row r="13076" spans="1:2" x14ac:dyDescent="0.25">
      <c r="A13076" s="4">
        <v>13071</v>
      </c>
      <c r="B13076" s="3" t="str">
        <f>"00704755"</f>
        <v>00704755</v>
      </c>
    </row>
    <row r="13077" spans="1:2" x14ac:dyDescent="0.25">
      <c r="A13077" s="4">
        <v>13072</v>
      </c>
      <c r="B13077" s="3" t="str">
        <f>"00704775"</f>
        <v>00704775</v>
      </c>
    </row>
    <row r="13078" spans="1:2" x14ac:dyDescent="0.25">
      <c r="A13078" s="4">
        <v>13073</v>
      </c>
      <c r="B13078" s="3" t="str">
        <f>"00704784"</f>
        <v>00704784</v>
      </c>
    </row>
    <row r="13079" spans="1:2" x14ac:dyDescent="0.25">
      <c r="A13079" s="4">
        <v>13074</v>
      </c>
      <c r="B13079" s="3" t="str">
        <f>"00704789"</f>
        <v>00704789</v>
      </c>
    </row>
    <row r="13080" spans="1:2" x14ac:dyDescent="0.25">
      <c r="A13080" s="4">
        <v>13075</v>
      </c>
      <c r="B13080" s="3" t="str">
        <f>"00704795"</f>
        <v>00704795</v>
      </c>
    </row>
    <row r="13081" spans="1:2" x14ac:dyDescent="0.25">
      <c r="A13081" s="4">
        <v>13076</v>
      </c>
      <c r="B13081" s="3" t="str">
        <f>"00704796"</f>
        <v>00704796</v>
      </c>
    </row>
    <row r="13082" spans="1:2" x14ac:dyDescent="0.25">
      <c r="A13082" s="4">
        <v>13077</v>
      </c>
      <c r="B13082" s="3" t="str">
        <f>"00704798"</f>
        <v>00704798</v>
      </c>
    </row>
    <row r="13083" spans="1:2" x14ac:dyDescent="0.25">
      <c r="A13083" s="4">
        <v>13078</v>
      </c>
      <c r="B13083" s="3" t="str">
        <f>"00704816"</f>
        <v>00704816</v>
      </c>
    </row>
    <row r="13084" spans="1:2" x14ac:dyDescent="0.25">
      <c r="A13084" s="4">
        <v>13079</v>
      </c>
      <c r="B13084" s="3" t="str">
        <f>"00704851"</f>
        <v>00704851</v>
      </c>
    </row>
    <row r="13085" spans="1:2" x14ac:dyDescent="0.25">
      <c r="A13085" s="4">
        <v>13080</v>
      </c>
      <c r="B13085" s="3" t="str">
        <f>"00704853"</f>
        <v>00704853</v>
      </c>
    </row>
    <row r="13086" spans="1:2" x14ac:dyDescent="0.25">
      <c r="A13086" s="4">
        <v>13081</v>
      </c>
      <c r="B13086" s="3" t="str">
        <f>"00704858"</f>
        <v>00704858</v>
      </c>
    </row>
    <row r="13087" spans="1:2" x14ac:dyDescent="0.25">
      <c r="A13087" s="4">
        <v>13082</v>
      </c>
      <c r="B13087" s="3" t="str">
        <f>"00704861"</f>
        <v>00704861</v>
      </c>
    </row>
    <row r="13088" spans="1:2" x14ac:dyDescent="0.25">
      <c r="A13088" s="4">
        <v>13083</v>
      </c>
      <c r="B13088" s="3" t="str">
        <f>"00704868"</f>
        <v>00704868</v>
      </c>
    </row>
    <row r="13089" spans="1:2" x14ac:dyDescent="0.25">
      <c r="A13089" s="4">
        <v>13084</v>
      </c>
      <c r="B13089" s="3" t="str">
        <f>"00704882"</f>
        <v>00704882</v>
      </c>
    </row>
    <row r="13090" spans="1:2" x14ac:dyDescent="0.25">
      <c r="A13090" s="4">
        <v>13085</v>
      </c>
      <c r="B13090" s="3" t="str">
        <f>"00704904"</f>
        <v>00704904</v>
      </c>
    </row>
    <row r="13091" spans="1:2" x14ac:dyDescent="0.25">
      <c r="A13091" s="4">
        <v>13086</v>
      </c>
      <c r="B13091" s="3" t="str">
        <f>"00704912"</f>
        <v>00704912</v>
      </c>
    </row>
    <row r="13092" spans="1:2" x14ac:dyDescent="0.25">
      <c r="A13092" s="4">
        <v>13087</v>
      </c>
      <c r="B13092" s="3" t="str">
        <f>"00704919"</f>
        <v>00704919</v>
      </c>
    </row>
    <row r="13093" spans="1:2" x14ac:dyDescent="0.25">
      <c r="A13093" s="4">
        <v>13088</v>
      </c>
      <c r="B13093" s="3" t="str">
        <f>"00704929"</f>
        <v>00704929</v>
      </c>
    </row>
    <row r="13094" spans="1:2" x14ac:dyDescent="0.25">
      <c r="A13094" s="4">
        <v>13089</v>
      </c>
      <c r="B13094" s="3" t="str">
        <f>"00704931"</f>
        <v>00704931</v>
      </c>
    </row>
    <row r="13095" spans="1:2" x14ac:dyDescent="0.25">
      <c r="A13095" s="4">
        <v>13090</v>
      </c>
      <c r="B13095" s="3" t="str">
        <f>"00704942"</f>
        <v>00704942</v>
      </c>
    </row>
    <row r="13096" spans="1:2" x14ac:dyDescent="0.25">
      <c r="A13096" s="4">
        <v>13091</v>
      </c>
      <c r="B13096" s="3" t="str">
        <f>"00704944"</f>
        <v>00704944</v>
      </c>
    </row>
    <row r="13097" spans="1:2" x14ac:dyDescent="0.25">
      <c r="A13097" s="4">
        <v>13092</v>
      </c>
      <c r="B13097" s="3" t="str">
        <f>"00704949"</f>
        <v>00704949</v>
      </c>
    </row>
    <row r="13098" spans="1:2" x14ac:dyDescent="0.25">
      <c r="A13098" s="4">
        <v>13093</v>
      </c>
      <c r="B13098" s="3" t="str">
        <f>"00704952"</f>
        <v>00704952</v>
      </c>
    </row>
    <row r="13099" spans="1:2" x14ac:dyDescent="0.25">
      <c r="A13099" s="4">
        <v>13094</v>
      </c>
      <c r="B13099" s="3" t="str">
        <f>"00704958"</f>
        <v>00704958</v>
      </c>
    </row>
    <row r="13100" spans="1:2" x14ac:dyDescent="0.25">
      <c r="A13100" s="4">
        <v>13095</v>
      </c>
      <c r="B13100" s="3" t="str">
        <f>"00704960"</f>
        <v>00704960</v>
      </c>
    </row>
    <row r="13101" spans="1:2" x14ac:dyDescent="0.25">
      <c r="A13101" s="4">
        <v>13096</v>
      </c>
      <c r="B13101" s="3" t="str">
        <f>"00704963"</f>
        <v>00704963</v>
      </c>
    </row>
    <row r="13102" spans="1:2" x14ac:dyDescent="0.25">
      <c r="A13102" s="4">
        <v>13097</v>
      </c>
      <c r="B13102" s="3" t="str">
        <f>"00704967"</f>
        <v>00704967</v>
      </c>
    </row>
    <row r="13103" spans="1:2" x14ac:dyDescent="0.25">
      <c r="A13103" s="4">
        <v>13098</v>
      </c>
      <c r="B13103" s="3" t="str">
        <f>"00704981"</f>
        <v>00704981</v>
      </c>
    </row>
    <row r="13104" spans="1:2" x14ac:dyDescent="0.25">
      <c r="A13104" s="4">
        <v>13099</v>
      </c>
      <c r="B13104" s="3" t="str">
        <f>"00704986"</f>
        <v>00704986</v>
      </c>
    </row>
    <row r="13105" spans="1:2" x14ac:dyDescent="0.25">
      <c r="A13105" s="4">
        <v>13100</v>
      </c>
      <c r="B13105" s="3" t="str">
        <f>"00704989"</f>
        <v>00704989</v>
      </c>
    </row>
    <row r="13106" spans="1:2" x14ac:dyDescent="0.25">
      <c r="A13106" s="4">
        <v>13101</v>
      </c>
      <c r="B13106" s="3" t="str">
        <f>"00705000"</f>
        <v>00705000</v>
      </c>
    </row>
    <row r="13107" spans="1:2" x14ac:dyDescent="0.25">
      <c r="A13107" s="4">
        <v>13102</v>
      </c>
      <c r="B13107" s="3" t="str">
        <f>"00705017"</f>
        <v>00705017</v>
      </c>
    </row>
    <row r="13108" spans="1:2" x14ac:dyDescent="0.25">
      <c r="A13108" s="4">
        <v>13103</v>
      </c>
      <c r="B13108" s="3" t="str">
        <f>"00705041"</f>
        <v>00705041</v>
      </c>
    </row>
    <row r="13109" spans="1:2" x14ac:dyDescent="0.25">
      <c r="A13109" s="4">
        <v>13104</v>
      </c>
      <c r="B13109" s="3" t="str">
        <f>"00705042"</f>
        <v>00705042</v>
      </c>
    </row>
    <row r="13110" spans="1:2" x14ac:dyDescent="0.25">
      <c r="A13110" s="4">
        <v>13105</v>
      </c>
      <c r="B13110" s="3" t="str">
        <f>"00705044"</f>
        <v>00705044</v>
      </c>
    </row>
    <row r="13111" spans="1:2" x14ac:dyDescent="0.25">
      <c r="A13111" s="4">
        <v>13106</v>
      </c>
      <c r="B13111" s="3" t="str">
        <f>"00705052"</f>
        <v>00705052</v>
      </c>
    </row>
    <row r="13112" spans="1:2" x14ac:dyDescent="0.25">
      <c r="A13112" s="4">
        <v>13107</v>
      </c>
      <c r="B13112" s="3" t="str">
        <f>"00705059"</f>
        <v>00705059</v>
      </c>
    </row>
    <row r="13113" spans="1:2" x14ac:dyDescent="0.25">
      <c r="A13113" s="4">
        <v>13108</v>
      </c>
      <c r="B13113" s="3" t="str">
        <f>"00705060"</f>
        <v>00705060</v>
      </c>
    </row>
    <row r="13114" spans="1:2" x14ac:dyDescent="0.25">
      <c r="A13114" s="4">
        <v>13109</v>
      </c>
      <c r="B13114" s="3" t="str">
        <f>"00705069"</f>
        <v>00705069</v>
      </c>
    </row>
    <row r="13115" spans="1:2" x14ac:dyDescent="0.25">
      <c r="A13115" s="4">
        <v>13110</v>
      </c>
      <c r="B13115" s="3" t="str">
        <f>"00705071"</f>
        <v>00705071</v>
      </c>
    </row>
    <row r="13116" spans="1:2" x14ac:dyDescent="0.25">
      <c r="A13116" s="4">
        <v>13111</v>
      </c>
      <c r="B13116" s="3" t="str">
        <f>"00705087"</f>
        <v>00705087</v>
      </c>
    </row>
    <row r="13117" spans="1:2" x14ac:dyDescent="0.25">
      <c r="A13117" s="4">
        <v>13112</v>
      </c>
      <c r="B13117" s="3" t="str">
        <f>"00705095"</f>
        <v>00705095</v>
      </c>
    </row>
    <row r="13118" spans="1:2" x14ac:dyDescent="0.25">
      <c r="A13118" s="4">
        <v>13113</v>
      </c>
      <c r="B13118" s="3" t="str">
        <f>"00705096"</f>
        <v>00705096</v>
      </c>
    </row>
    <row r="13119" spans="1:2" x14ac:dyDescent="0.25">
      <c r="A13119" s="4">
        <v>13114</v>
      </c>
      <c r="B13119" s="3" t="str">
        <f>"00705098"</f>
        <v>00705098</v>
      </c>
    </row>
    <row r="13120" spans="1:2" x14ac:dyDescent="0.25">
      <c r="A13120" s="4">
        <v>13115</v>
      </c>
      <c r="B13120" s="3" t="str">
        <f>"00705102"</f>
        <v>00705102</v>
      </c>
    </row>
    <row r="13121" spans="1:2" x14ac:dyDescent="0.25">
      <c r="A13121" s="4">
        <v>13116</v>
      </c>
      <c r="B13121" s="3" t="str">
        <f>"00705104"</f>
        <v>00705104</v>
      </c>
    </row>
    <row r="13122" spans="1:2" x14ac:dyDescent="0.25">
      <c r="A13122" s="4">
        <v>13117</v>
      </c>
      <c r="B13122" s="3" t="str">
        <f>"00705107"</f>
        <v>00705107</v>
      </c>
    </row>
    <row r="13123" spans="1:2" x14ac:dyDescent="0.25">
      <c r="A13123" s="4">
        <v>13118</v>
      </c>
      <c r="B13123" s="3" t="str">
        <f>"00705110"</f>
        <v>00705110</v>
      </c>
    </row>
    <row r="13124" spans="1:2" x14ac:dyDescent="0.25">
      <c r="A13124" s="4">
        <v>13119</v>
      </c>
      <c r="B13124" s="3" t="str">
        <f>"00705114"</f>
        <v>00705114</v>
      </c>
    </row>
    <row r="13125" spans="1:2" x14ac:dyDescent="0.25">
      <c r="A13125" s="4">
        <v>13120</v>
      </c>
      <c r="B13125" s="3" t="str">
        <f>"00705120"</f>
        <v>00705120</v>
      </c>
    </row>
    <row r="13126" spans="1:2" x14ac:dyDescent="0.25">
      <c r="A13126" s="4">
        <v>13121</v>
      </c>
      <c r="B13126" s="3" t="str">
        <f>"00705132"</f>
        <v>00705132</v>
      </c>
    </row>
    <row r="13127" spans="1:2" x14ac:dyDescent="0.25">
      <c r="A13127" s="4">
        <v>13122</v>
      </c>
      <c r="B13127" s="3" t="str">
        <f>"00705136"</f>
        <v>00705136</v>
      </c>
    </row>
    <row r="13128" spans="1:2" x14ac:dyDescent="0.25">
      <c r="A13128" s="4">
        <v>13123</v>
      </c>
      <c r="B13128" s="3" t="str">
        <f>"00705155"</f>
        <v>00705155</v>
      </c>
    </row>
    <row r="13129" spans="1:2" x14ac:dyDescent="0.25">
      <c r="A13129" s="4">
        <v>13124</v>
      </c>
      <c r="B13129" s="3" t="str">
        <f>"00705157"</f>
        <v>00705157</v>
      </c>
    </row>
    <row r="13130" spans="1:2" x14ac:dyDescent="0.25">
      <c r="A13130" s="4">
        <v>13125</v>
      </c>
      <c r="B13130" s="3" t="str">
        <f>"00705181"</f>
        <v>00705181</v>
      </c>
    </row>
    <row r="13131" spans="1:2" x14ac:dyDescent="0.25">
      <c r="A13131" s="4">
        <v>13126</v>
      </c>
      <c r="B13131" s="3" t="str">
        <f>"00705184"</f>
        <v>00705184</v>
      </c>
    </row>
    <row r="13132" spans="1:2" x14ac:dyDescent="0.25">
      <c r="A13132" s="4">
        <v>13127</v>
      </c>
      <c r="B13132" s="3" t="str">
        <f>"00705195"</f>
        <v>00705195</v>
      </c>
    </row>
    <row r="13133" spans="1:2" x14ac:dyDescent="0.25">
      <c r="A13133" s="4">
        <v>13128</v>
      </c>
      <c r="B13133" s="3" t="str">
        <f>"00705204"</f>
        <v>00705204</v>
      </c>
    </row>
    <row r="13134" spans="1:2" x14ac:dyDescent="0.25">
      <c r="A13134" s="4">
        <v>13129</v>
      </c>
      <c r="B13134" s="3" t="str">
        <f>"00705215"</f>
        <v>00705215</v>
      </c>
    </row>
    <row r="13135" spans="1:2" x14ac:dyDescent="0.25">
      <c r="A13135" s="4">
        <v>13130</v>
      </c>
      <c r="B13135" s="3" t="str">
        <f>"00705221"</f>
        <v>00705221</v>
      </c>
    </row>
    <row r="13136" spans="1:2" x14ac:dyDescent="0.25">
      <c r="A13136" s="4">
        <v>13131</v>
      </c>
      <c r="B13136" s="3" t="str">
        <f>"00705227"</f>
        <v>00705227</v>
      </c>
    </row>
    <row r="13137" spans="1:2" x14ac:dyDescent="0.25">
      <c r="A13137" s="4">
        <v>13132</v>
      </c>
      <c r="B13137" s="3" t="str">
        <f>"00705233"</f>
        <v>00705233</v>
      </c>
    </row>
    <row r="13138" spans="1:2" x14ac:dyDescent="0.25">
      <c r="A13138" s="4">
        <v>13133</v>
      </c>
      <c r="B13138" s="3" t="str">
        <f>"00705235"</f>
        <v>00705235</v>
      </c>
    </row>
    <row r="13139" spans="1:2" x14ac:dyDescent="0.25">
      <c r="A13139" s="4">
        <v>13134</v>
      </c>
      <c r="B13139" s="3" t="str">
        <f>"00705246"</f>
        <v>00705246</v>
      </c>
    </row>
    <row r="13140" spans="1:2" x14ac:dyDescent="0.25">
      <c r="A13140" s="4">
        <v>13135</v>
      </c>
      <c r="B13140" s="3" t="str">
        <f>"00705247"</f>
        <v>00705247</v>
      </c>
    </row>
    <row r="13141" spans="1:2" x14ac:dyDescent="0.25">
      <c r="A13141" s="4">
        <v>13136</v>
      </c>
      <c r="B13141" s="3" t="str">
        <f>"00705261"</f>
        <v>00705261</v>
      </c>
    </row>
    <row r="13142" spans="1:2" x14ac:dyDescent="0.25">
      <c r="A13142" s="4">
        <v>13137</v>
      </c>
      <c r="B13142" s="3" t="str">
        <f>"00705264"</f>
        <v>00705264</v>
      </c>
    </row>
    <row r="13143" spans="1:2" x14ac:dyDescent="0.25">
      <c r="A13143" s="4">
        <v>13138</v>
      </c>
      <c r="B13143" s="3" t="str">
        <f>"00705281"</f>
        <v>00705281</v>
      </c>
    </row>
    <row r="13144" spans="1:2" x14ac:dyDescent="0.25">
      <c r="A13144" s="4">
        <v>13139</v>
      </c>
      <c r="B13144" s="3" t="str">
        <f>"00705282"</f>
        <v>00705282</v>
      </c>
    </row>
    <row r="13145" spans="1:2" x14ac:dyDescent="0.25">
      <c r="A13145" s="4">
        <v>13140</v>
      </c>
      <c r="B13145" s="3" t="str">
        <f>"00705292"</f>
        <v>00705292</v>
      </c>
    </row>
    <row r="13146" spans="1:2" x14ac:dyDescent="0.25">
      <c r="A13146" s="4">
        <v>13141</v>
      </c>
      <c r="B13146" s="3" t="str">
        <f>"00705293"</f>
        <v>00705293</v>
      </c>
    </row>
    <row r="13147" spans="1:2" x14ac:dyDescent="0.25">
      <c r="A13147" s="4">
        <v>13142</v>
      </c>
      <c r="B13147" s="3" t="str">
        <f>"00705311"</f>
        <v>00705311</v>
      </c>
    </row>
    <row r="13148" spans="1:2" x14ac:dyDescent="0.25">
      <c r="A13148" s="4">
        <v>13143</v>
      </c>
      <c r="B13148" s="3" t="str">
        <f>"00705312"</f>
        <v>00705312</v>
      </c>
    </row>
    <row r="13149" spans="1:2" x14ac:dyDescent="0.25">
      <c r="A13149" s="4">
        <v>13144</v>
      </c>
      <c r="B13149" s="3" t="str">
        <f>"00705319"</f>
        <v>00705319</v>
      </c>
    </row>
    <row r="13150" spans="1:2" x14ac:dyDescent="0.25">
      <c r="A13150" s="4">
        <v>13145</v>
      </c>
      <c r="B13150" s="3" t="str">
        <f>"00705320"</f>
        <v>00705320</v>
      </c>
    </row>
    <row r="13151" spans="1:2" x14ac:dyDescent="0.25">
      <c r="A13151" s="4">
        <v>13146</v>
      </c>
      <c r="B13151" s="3" t="str">
        <f>"00705321"</f>
        <v>00705321</v>
      </c>
    </row>
    <row r="13152" spans="1:2" x14ac:dyDescent="0.25">
      <c r="A13152" s="4">
        <v>13147</v>
      </c>
      <c r="B13152" s="3" t="str">
        <f>"00705329"</f>
        <v>00705329</v>
      </c>
    </row>
    <row r="13153" spans="1:2" x14ac:dyDescent="0.25">
      <c r="A13153" s="4">
        <v>13148</v>
      </c>
      <c r="B13153" s="3" t="str">
        <f>"00705338"</f>
        <v>00705338</v>
      </c>
    </row>
    <row r="13154" spans="1:2" x14ac:dyDescent="0.25">
      <c r="A13154" s="4">
        <v>13149</v>
      </c>
      <c r="B13154" s="3" t="str">
        <f>"00705382"</f>
        <v>00705382</v>
      </c>
    </row>
    <row r="13155" spans="1:2" x14ac:dyDescent="0.25">
      <c r="A13155" s="4">
        <v>13150</v>
      </c>
      <c r="B13155" s="3" t="str">
        <f>"00705383"</f>
        <v>00705383</v>
      </c>
    </row>
    <row r="13156" spans="1:2" x14ac:dyDescent="0.25">
      <c r="A13156" s="4">
        <v>13151</v>
      </c>
      <c r="B13156" s="3" t="str">
        <f>"00705384"</f>
        <v>00705384</v>
      </c>
    </row>
    <row r="13157" spans="1:2" x14ac:dyDescent="0.25">
      <c r="A13157" s="4">
        <v>13152</v>
      </c>
      <c r="B13157" s="3" t="str">
        <f>"00705389"</f>
        <v>00705389</v>
      </c>
    </row>
    <row r="13158" spans="1:2" x14ac:dyDescent="0.25">
      <c r="A13158" s="4">
        <v>13153</v>
      </c>
      <c r="B13158" s="3" t="str">
        <f>"00705393"</f>
        <v>00705393</v>
      </c>
    </row>
    <row r="13159" spans="1:2" x14ac:dyDescent="0.25">
      <c r="A13159" s="4">
        <v>13154</v>
      </c>
      <c r="B13159" s="3" t="str">
        <f>"00705396"</f>
        <v>00705396</v>
      </c>
    </row>
    <row r="13160" spans="1:2" x14ac:dyDescent="0.25">
      <c r="A13160" s="4">
        <v>13155</v>
      </c>
      <c r="B13160" s="3" t="str">
        <f>"00705402"</f>
        <v>00705402</v>
      </c>
    </row>
    <row r="13161" spans="1:2" x14ac:dyDescent="0.25">
      <c r="A13161" s="4">
        <v>13156</v>
      </c>
      <c r="B13161" s="3" t="str">
        <f>"00705409"</f>
        <v>00705409</v>
      </c>
    </row>
    <row r="13162" spans="1:2" x14ac:dyDescent="0.25">
      <c r="A13162" s="4">
        <v>13157</v>
      </c>
      <c r="B13162" s="3" t="str">
        <f>"00705415"</f>
        <v>00705415</v>
      </c>
    </row>
    <row r="13163" spans="1:2" x14ac:dyDescent="0.25">
      <c r="A13163" s="4">
        <v>13158</v>
      </c>
      <c r="B13163" s="3" t="str">
        <f>"00705423"</f>
        <v>00705423</v>
      </c>
    </row>
    <row r="13164" spans="1:2" x14ac:dyDescent="0.25">
      <c r="A13164" s="4">
        <v>13159</v>
      </c>
      <c r="B13164" s="3" t="str">
        <f>"00705438"</f>
        <v>00705438</v>
      </c>
    </row>
    <row r="13165" spans="1:2" x14ac:dyDescent="0.25">
      <c r="A13165" s="4">
        <v>13160</v>
      </c>
      <c r="B13165" s="3" t="str">
        <f>"00705439"</f>
        <v>00705439</v>
      </c>
    </row>
    <row r="13166" spans="1:2" x14ac:dyDescent="0.25">
      <c r="A13166" s="4">
        <v>13161</v>
      </c>
      <c r="B13166" s="3" t="str">
        <f>"00705443"</f>
        <v>00705443</v>
      </c>
    </row>
    <row r="13167" spans="1:2" x14ac:dyDescent="0.25">
      <c r="A13167" s="4">
        <v>13162</v>
      </c>
      <c r="B13167" s="3" t="str">
        <f>"00705449"</f>
        <v>00705449</v>
      </c>
    </row>
    <row r="13168" spans="1:2" x14ac:dyDescent="0.25">
      <c r="A13168" s="4">
        <v>13163</v>
      </c>
      <c r="B13168" s="3" t="str">
        <f>"00705466"</f>
        <v>00705466</v>
      </c>
    </row>
    <row r="13169" spans="1:2" x14ac:dyDescent="0.25">
      <c r="A13169" s="4">
        <v>13164</v>
      </c>
      <c r="B13169" s="3" t="str">
        <f>"00705474"</f>
        <v>00705474</v>
      </c>
    </row>
    <row r="13170" spans="1:2" x14ac:dyDescent="0.25">
      <c r="A13170" s="4">
        <v>13165</v>
      </c>
      <c r="B13170" s="3" t="str">
        <f>"00705476"</f>
        <v>00705476</v>
      </c>
    </row>
    <row r="13171" spans="1:2" x14ac:dyDescent="0.25">
      <c r="A13171" s="4">
        <v>13166</v>
      </c>
      <c r="B13171" s="3" t="str">
        <f>"00705513"</f>
        <v>00705513</v>
      </c>
    </row>
    <row r="13172" spans="1:2" x14ac:dyDescent="0.25">
      <c r="A13172" s="4">
        <v>13167</v>
      </c>
      <c r="B13172" s="3" t="str">
        <f>"00705525"</f>
        <v>00705525</v>
      </c>
    </row>
    <row r="13173" spans="1:2" x14ac:dyDescent="0.25">
      <c r="A13173" s="4">
        <v>13168</v>
      </c>
      <c r="B13173" s="3" t="str">
        <f>"00705541"</f>
        <v>00705541</v>
      </c>
    </row>
    <row r="13174" spans="1:2" x14ac:dyDescent="0.25">
      <c r="A13174" s="4">
        <v>13169</v>
      </c>
      <c r="B13174" s="3" t="str">
        <f>"00705552"</f>
        <v>00705552</v>
      </c>
    </row>
    <row r="13175" spans="1:2" x14ac:dyDescent="0.25">
      <c r="A13175" s="4">
        <v>13170</v>
      </c>
      <c r="B13175" s="3" t="str">
        <f>"00705553"</f>
        <v>00705553</v>
      </c>
    </row>
    <row r="13176" spans="1:2" x14ac:dyDescent="0.25">
      <c r="A13176" s="4">
        <v>13171</v>
      </c>
      <c r="B13176" s="3" t="str">
        <f>"00705561"</f>
        <v>00705561</v>
      </c>
    </row>
    <row r="13177" spans="1:2" x14ac:dyDescent="0.25">
      <c r="A13177" s="4">
        <v>13172</v>
      </c>
      <c r="B13177" s="3" t="str">
        <f>"00705562"</f>
        <v>00705562</v>
      </c>
    </row>
    <row r="13178" spans="1:2" x14ac:dyDescent="0.25">
      <c r="A13178" s="4">
        <v>13173</v>
      </c>
      <c r="B13178" s="3" t="str">
        <f>"00705569"</f>
        <v>00705569</v>
      </c>
    </row>
    <row r="13179" spans="1:2" x14ac:dyDescent="0.25">
      <c r="A13179" s="4">
        <v>13174</v>
      </c>
      <c r="B13179" s="3" t="str">
        <f>"00705577"</f>
        <v>00705577</v>
      </c>
    </row>
    <row r="13180" spans="1:2" x14ac:dyDescent="0.25">
      <c r="A13180" s="4">
        <v>13175</v>
      </c>
      <c r="B13180" s="3" t="str">
        <f>"00705578"</f>
        <v>00705578</v>
      </c>
    </row>
    <row r="13181" spans="1:2" x14ac:dyDescent="0.25">
      <c r="A13181" s="4">
        <v>13176</v>
      </c>
      <c r="B13181" s="3" t="str">
        <f>"00705586"</f>
        <v>00705586</v>
      </c>
    </row>
    <row r="13182" spans="1:2" x14ac:dyDescent="0.25">
      <c r="A13182" s="4">
        <v>13177</v>
      </c>
      <c r="B13182" s="3" t="str">
        <f>"00705591"</f>
        <v>00705591</v>
      </c>
    </row>
    <row r="13183" spans="1:2" x14ac:dyDescent="0.25">
      <c r="A13183" s="4">
        <v>13178</v>
      </c>
      <c r="B13183" s="3" t="str">
        <f>"00705595"</f>
        <v>00705595</v>
      </c>
    </row>
    <row r="13184" spans="1:2" x14ac:dyDescent="0.25">
      <c r="A13184" s="4">
        <v>13179</v>
      </c>
      <c r="B13184" s="3" t="str">
        <f>"00705607"</f>
        <v>00705607</v>
      </c>
    </row>
    <row r="13185" spans="1:2" x14ac:dyDescent="0.25">
      <c r="A13185" s="4">
        <v>13180</v>
      </c>
      <c r="B13185" s="3" t="str">
        <f>"00705608"</f>
        <v>00705608</v>
      </c>
    </row>
    <row r="13186" spans="1:2" x14ac:dyDescent="0.25">
      <c r="A13186" s="4">
        <v>13181</v>
      </c>
      <c r="B13186" s="3" t="str">
        <f>"00705610"</f>
        <v>00705610</v>
      </c>
    </row>
    <row r="13187" spans="1:2" x14ac:dyDescent="0.25">
      <c r="A13187" s="4">
        <v>13182</v>
      </c>
      <c r="B13187" s="3" t="str">
        <f>"00705612"</f>
        <v>00705612</v>
      </c>
    </row>
    <row r="13188" spans="1:2" x14ac:dyDescent="0.25">
      <c r="A13188" s="4">
        <v>13183</v>
      </c>
      <c r="B13188" s="3" t="str">
        <f>"00705613"</f>
        <v>00705613</v>
      </c>
    </row>
    <row r="13189" spans="1:2" x14ac:dyDescent="0.25">
      <c r="A13189" s="4">
        <v>13184</v>
      </c>
      <c r="B13189" s="3" t="str">
        <f>"00705618"</f>
        <v>00705618</v>
      </c>
    </row>
    <row r="13190" spans="1:2" x14ac:dyDescent="0.25">
      <c r="A13190" s="4">
        <v>13185</v>
      </c>
      <c r="B13190" s="3" t="str">
        <f>"00705619"</f>
        <v>00705619</v>
      </c>
    </row>
    <row r="13191" spans="1:2" x14ac:dyDescent="0.25">
      <c r="A13191" s="4">
        <v>13186</v>
      </c>
      <c r="B13191" s="3" t="str">
        <f>"00705622"</f>
        <v>00705622</v>
      </c>
    </row>
    <row r="13192" spans="1:2" x14ac:dyDescent="0.25">
      <c r="A13192" s="4">
        <v>13187</v>
      </c>
      <c r="B13192" s="3" t="str">
        <f>"00705624"</f>
        <v>00705624</v>
      </c>
    </row>
    <row r="13193" spans="1:2" x14ac:dyDescent="0.25">
      <c r="A13193" s="4">
        <v>13188</v>
      </c>
      <c r="B13193" s="3" t="str">
        <f>"00705632"</f>
        <v>00705632</v>
      </c>
    </row>
    <row r="13194" spans="1:2" x14ac:dyDescent="0.25">
      <c r="A13194" s="4">
        <v>13189</v>
      </c>
      <c r="B13194" s="3" t="str">
        <f>"00705634"</f>
        <v>00705634</v>
      </c>
    </row>
    <row r="13195" spans="1:2" x14ac:dyDescent="0.25">
      <c r="A13195" s="4">
        <v>13190</v>
      </c>
      <c r="B13195" s="3" t="str">
        <f>"00705637"</f>
        <v>00705637</v>
      </c>
    </row>
    <row r="13196" spans="1:2" x14ac:dyDescent="0.25">
      <c r="A13196" s="4">
        <v>13191</v>
      </c>
      <c r="B13196" s="3" t="str">
        <f>"00705644"</f>
        <v>00705644</v>
      </c>
    </row>
    <row r="13197" spans="1:2" x14ac:dyDescent="0.25">
      <c r="A13197" s="4">
        <v>13192</v>
      </c>
      <c r="B13197" s="3" t="str">
        <f>"00705658"</f>
        <v>00705658</v>
      </c>
    </row>
    <row r="13198" spans="1:2" x14ac:dyDescent="0.25">
      <c r="A13198" s="4">
        <v>13193</v>
      </c>
      <c r="B13198" s="3" t="str">
        <f>"00705661"</f>
        <v>00705661</v>
      </c>
    </row>
    <row r="13199" spans="1:2" x14ac:dyDescent="0.25">
      <c r="A13199" s="4">
        <v>13194</v>
      </c>
      <c r="B13199" s="3" t="str">
        <f>"00705665"</f>
        <v>00705665</v>
      </c>
    </row>
    <row r="13200" spans="1:2" x14ac:dyDescent="0.25">
      <c r="A13200" s="4">
        <v>13195</v>
      </c>
      <c r="B13200" s="3" t="str">
        <f>"00705668"</f>
        <v>00705668</v>
      </c>
    </row>
    <row r="13201" spans="1:2" x14ac:dyDescent="0.25">
      <c r="A13201" s="4">
        <v>13196</v>
      </c>
      <c r="B13201" s="3" t="str">
        <f>"00705670"</f>
        <v>00705670</v>
      </c>
    </row>
    <row r="13202" spans="1:2" x14ac:dyDescent="0.25">
      <c r="A13202" s="4">
        <v>13197</v>
      </c>
      <c r="B13202" s="3" t="str">
        <f>"00705671"</f>
        <v>00705671</v>
      </c>
    </row>
    <row r="13203" spans="1:2" x14ac:dyDescent="0.25">
      <c r="A13203" s="4">
        <v>13198</v>
      </c>
      <c r="B13203" s="3" t="str">
        <f>"00705675"</f>
        <v>00705675</v>
      </c>
    </row>
    <row r="13204" spans="1:2" x14ac:dyDescent="0.25">
      <c r="A13204" s="4">
        <v>13199</v>
      </c>
      <c r="B13204" s="3" t="str">
        <f>"00705676"</f>
        <v>00705676</v>
      </c>
    </row>
    <row r="13205" spans="1:2" x14ac:dyDescent="0.25">
      <c r="A13205" s="4">
        <v>13200</v>
      </c>
      <c r="B13205" s="3" t="str">
        <f>"00705682"</f>
        <v>00705682</v>
      </c>
    </row>
    <row r="13206" spans="1:2" x14ac:dyDescent="0.25">
      <c r="A13206" s="4">
        <v>13201</v>
      </c>
      <c r="B13206" s="3" t="str">
        <f>"00705684"</f>
        <v>00705684</v>
      </c>
    </row>
    <row r="13207" spans="1:2" x14ac:dyDescent="0.25">
      <c r="A13207" s="4">
        <v>13202</v>
      </c>
      <c r="B13207" s="3" t="str">
        <f>"00705691"</f>
        <v>00705691</v>
      </c>
    </row>
    <row r="13208" spans="1:2" x14ac:dyDescent="0.25">
      <c r="A13208" s="4">
        <v>13203</v>
      </c>
      <c r="B13208" s="3" t="str">
        <f>"00705702"</f>
        <v>00705702</v>
      </c>
    </row>
    <row r="13209" spans="1:2" x14ac:dyDescent="0.25">
      <c r="A13209" s="4">
        <v>13204</v>
      </c>
      <c r="B13209" s="3" t="str">
        <f>"00705705"</f>
        <v>00705705</v>
      </c>
    </row>
    <row r="13210" spans="1:2" x14ac:dyDescent="0.25">
      <c r="A13210" s="4">
        <v>13205</v>
      </c>
      <c r="B13210" s="3" t="str">
        <f>"00705707"</f>
        <v>00705707</v>
      </c>
    </row>
    <row r="13211" spans="1:2" x14ac:dyDescent="0.25">
      <c r="A13211" s="4">
        <v>13206</v>
      </c>
      <c r="B13211" s="3" t="str">
        <f>"00705712"</f>
        <v>00705712</v>
      </c>
    </row>
    <row r="13212" spans="1:2" x14ac:dyDescent="0.25">
      <c r="A13212" s="4">
        <v>13207</v>
      </c>
      <c r="B13212" s="3" t="str">
        <f>"00705715"</f>
        <v>00705715</v>
      </c>
    </row>
    <row r="13213" spans="1:2" x14ac:dyDescent="0.25">
      <c r="A13213" s="4">
        <v>13208</v>
      </c>
      <c r="B13213" s="3" t="str">
        <f>"00705730"</f>
        <v>00705730</v>
      </c>
    </row>
    <row r="13214" spans="1:2" x14ac:dyDescent="0.25">
      <c r="A13214" s="4">
        <v>13209</v>
      </c>
      <c r="B13214" s="3" t="str">
        <f>"00705731"</f>
        <v>00705731</v>
      </c>
    </row>
    <row r="13215" spans="1:2" x14ac:dyDescent="0.25">
      <c r="A13215" s="4">
        <v>13210</v>
      </c>
      <c r="B13215" s="3" t="str">
        <f>"00705737"</f>
        <v>00705737</v>
      </c>
    </row>
    <row r="13216" spans="1:2" x14ac:dyDescent="0.25">
      <c r="A13216" s="4">
        <v>13211</v>
      </c>
      <c r="B13216" s="3" t="str">
        <f>"00705744"</f>
        <v>00705744</v>
      </c>
    </row>
    <row r="13217" spans="1:2" x14ac:dyDescent="0.25">
      <c r="A13217" s="4">
        <v>13212</v>
      </c>
      <c r="B13217" s="3" t="str">
        <f>"00705745"</f>
        <v>00705745</v>
      </c>
    </row>
    <row r="13218" spans="1:2" x14ac:dyDescent="0.25">
      <c r="A13218" s="4">
        <v>13213</v>
      </c>
      <c r="B13218" s="3" t="str">
        <f>"00705748"</f>
        <v>00705748</v>
      </c>
    </row>
    <row r="13219" spans="1:2" x14ac:dyDescent="0.25">
      <c r="A13219" s="4">
        <v>13214</v>
      </c>
      <c r="B13219" s="3" t="str">
        <f>"00705759"</f>
        <v>00705759</v>
      </c>
    </row>
    <row r="13220" spans="1:2" x14ac:dyDescent="0.25">
      <c r="A13220" s="4">
        <v>13215</v>
      </c>
      <c r="B13220" s="3" t="str">
        <f>"00705764"</f>
        <v>00705764</v>
      </c>
    </row>
    <row r="13221" spans="1:2" x14ac:dyDescent="0.25">
      <c r="A13221" s="4">
        <v>13216</v>
      </c>
      <c r="B13221" s="3" t="str">
        <f>"00705770"</f>
        <v>00705770</v>
      </c>
    </row>
    <row r="13222" spans="1:2" x14ac:dyDescent="0.25">
      <c r="A13222" s="4">
        <v>13217</v>
      </c>
      <c r="B13222" s="3" t="str">
        <f>"00705772"</f>
        <v>00705772</v>
      </c>
    </row>
    <row r="13223" spans="1:2" x14ac:dyDescent="0.25">
      <c r="A13223" s="4">
        <v>13218</v>
      </c>
      <c r="B13223" s="3" t="str">
        <f>"00705773"</f>
        <v>00705773</v>
      </c>
    </row>
    <row r="13224" spans="1:2" x14ac:dyDescent="0.25">
      <c r="A13224" s="4">
        <v>13219</v>
      </c>
      <c r="B13224" s="3" t="str">
        <f>"00705777"</f>
        <v>00705777</v>
      </c>
    </row>
    <row r="13225" spans="1:2" x14ac:dyDescent="0.25">
      <c r="A13225" s="4">
        <v>13220</v>
      </c>
      <c r="B13225" s="3" t="str">
        <f>"00705781"</f>
        <v>00705781</v>
      </c>
    </row>
    <row r="13226" spans="1:2" x14ac:dyDescent="0.25">
      <c r="A13226" s="4">
        <v>13221</v>
      </c>
      <c r="B13226" s="3" t="str">
        <f>"00705791"</f>
        <v>00705791</v>
      </c>
    </row>
    <row r="13227" spans="1:2" x14ac:dyDescent="0.25">
      <c r="A13227" s="4">
        <v>13222</v>
      </c>
      <c r="B13227" s="3" t="str">
        <f>"00705794"</f>
        <v>00705794</v>
      </c>
    </row>
    <row r="13228" spans="1:2" x14ac:dyDescent="0.25">
      <c r="A13228" s="4">
        <v>13223</v>
      </c>
      <c r="B13228" s="3" t="str">
        <f>"00705795"</f>
        <v>00705795</v>
      </c>
    </row>
    <row r="13229" spans="1:2" x14ac:dyDescent="0.25">
      <c r="A13229" s="4">
        <v>13224</v>
      </c>
      <c r="B13229" s="3" t="str">
        <f>"00705796"</f>
        <v>00705796</v>
      </c>
    </row>
    <row r="13230" spans="1:2" x14ac:dyDescent="0.25">
      <c r="A13230" s="4">
        <v>13225</v>
      </c>
      <c r="B13230" s="3" t="str">
        <f>"00705798"</f>
        <v>00705798</v>
      </c>
    </row>
    <row r="13231" spans="1:2" x14ac:dyDescent="0.25">
      <c r="A13231" s="4">
        <v>13226</v>
      </c>
      <c r="B13231" s="3" t="str">
        <f>"00705801"</f>
        <v>00705801</v>
      </c>
    </row>
    <row r="13232" spans="1:2" x14ac:dyDescent="0.25">
      <c r="A13232" s="4">
        <v>13227</v>
      </c>
      <c r="B13232" s="3" t="str">
        <f>"00705802"</f>
        <v>00705802</v>
      </c>
    </row>
    <row r="13233" spans="1:2" x14ac:dyDescent="0.25">
      <c r="A13233" s="4">
        <v>13228</v>
      </c>
      <c r="B13233" s="3" t="str">
        <f>"00705804"</f>
        <v>00705804</v>
      </c>
    </row>
    <row r="13234" spans="1:2" x14ac:dyDescent="0.25">
      <c r="A13234" s="4">
        <v>13229</v>
      </c>
      <c r="B13234" s="3" t="str">
        <f>"00705810"</f>
        <v>00705810</v>
      </c>
    </row>
    <row r="13235" spans="1:2" x14ac:dyDescent="0.25">
      <c r="A13235" s="4">
        <v>13230</v>
      </c>
      <c r="B13235" s="3" t="str">
        <f>"00705811"</f>
        <v>00705811</v>
      </c>
    </row>
    <row r="13236" spans="1:2" x14ac:dyDescent="0.25">
      <c r="A13236" s="4">
        <v>13231</v>
      </c>
      <c r="B13236" s="3" t="str">
        <f>"00705820"</f>
        <v>00705820</v>
      </c>
    </row>
    <row r="13237" spans="1:2" x14ac:dyDescent="0.25">
      <c r="A13237" s="4">
        <v>13232</v>
      </c>
      <c r="B13237" s="3" t="str">
        <f>"00705835"</f>
        <v>00705835</v>
      </c>
    </row>
    <row r="13238" spans="1:2" x14ac:dyDescent="0.25">
      <c r="A13238" s="4">
        <v>13233</v>
      </c>
      <c r="B13238" s="3" t="str">
        <f>"00705853"</f>
        <v>00705853</v>
      </c>
    </row>
    <row r="13239" spans="1:2" x14ac:dyDescent="0.25">
      <c r="A13239" s="4">
        <v>13234</v>
      </c>
      <c r="B13239" s="3" t="str">
        <f>"00705863"</f>
        <v>00705863</v>
      </c>
    </row>
    <row r="13240" spans="1:2" x14ac:dyDescent="0.25">
      <c r="A13240" s="4">
        <v>13235</v>
      </c>
      <c r="B13240" s="3" t="str">
        <f>"00705864"</f>
        <v>00705864</v>
      </c>
    </row>
    <row r="13241" spans="1:2" x14ac:dyDescent="0.25">
      <c r="A13241" s="4">
        <v>13236</v>
      </c>
      <c r="B13241" s="3" t="str">
        <f>"00705869"</f>
        <v>00705869</v>
      </c>
    </row>
    <row r="13242" spans="1:2" x14ac:dyDescent="0.25">
      <c r="A13242" s="4">
        <v>13237</v>
      </c>
      <c r="B13242" s="3" t="str">
        <f>"00705872"</f>
        <v>00705872</v>
      </c>
    </row>
    <row r="13243" spans="1:2" x14ac:dyDescent="0.25">
      <c r="A13243" s="4">
        <v>13238</v>
      </c>
      <c r="B13243" s="3" t="str">
        <f>"00705882"</f>
        <v>00705882</v>
      </c>
    </row>
    <row r="13244" spans="1:2" x14ac:dyDescent="0.25">
      <c r="A13244" s="4">
        <v>13239</v>
      </c>
      <c r="B13244" s="3" t="str">
        <f>"00705892"</f>
        <v>00705892</v>
      </c>
    </row>
    <row r="13245" spans="1:2" x14ac:dyDescent="0.25">
      <c r="A13245" s="4">
        <v>13240</v>
      </c>
      <c r="B13245" s="3" t="str">
        <f>"00705898"</f>
        <v>00705898</v>
      </c>
    </row>
    <row r="13246" spans="1:2" x14ac:dyDescent="0.25">
      <c r="A13246" s="4">
        <v>13241</v>
      </c>
      <c r="B13246" s="3" t="str">
        <f>"00705915"</f>
        <v>00705915</v>
      </c>
    </row>
    <row r="13247" spans="1:2" x14ac:dyDescent="0.25">
      <c r="A13247" s="4">
        <v>13242</v>
      </c>
      <c r="B13247" s="3" t="str">
        <f>"00705919"</f>
        <v>00705919</v>
      </c>
    </row>
    <row r="13248" spans="1:2" x14ac:dyDescent="0.25">
      <c r="A13248" s="4">
        <v>13243</v>
      </c>
      <c r="B13248" s="3" t="str">
        <f>"00705923"</f>
        <v>00705923</v>
      </c>
    </row>
    <row r="13249" spans="1:2" x14ac:dyDescent="0.25">
      <c r="A13249" s="4">
        <v>13244</v>
      </c>
      <c r="B13249" s="3" t="str">
        <f>"00705929"</f>
        <v>00705929</v>
      </c>
    </row>
    <row r="13250" spans="1:2" x14ac:dyDescent="0.25">
      <c r="A13250" s="4">
        <v>13245</v>
      </c>
      <c r="B13250" s="3" t="str">
        <f>"00705930"</f>
        <v>00705930</v>
      </c>
    </row>
    <row r="13251" spans="1:2" x14ac:dyDescent="0.25">
      <c r="A13251" s="4">
        <v>13246</v>
      </c>
      <c r="B13251" s="3" t="str">
        <f>"00705947"</f>
        <v>00705947</v>
      </c>
    </row>
    <row r="13252" spans="1:2" x14ac:dyDescent="0.25">
      <c r="A13252" s="4">
        <v>13247</v>
      </c>
      <c r="B13252" s="3" t="str">
        <f>"00705954"</f>
        <v>00705954</v>
      </c>
    </row>
    <row r="13253" spans="1:2" x14ac:dyDescent="0.25">
      <c r="A13253" s="4">
        <v>13248</v>
      </c>
      <c r="B13253" s="3" t="str">
        <f>"00705965"</f>
        <v>00705965</v>
      </c>
    </row>
    <row r="13254" spans="1:2" x14ac:dyDescent="0.25">
      <c r="A13254" s="4">
        <v>13249</v>
      </c>
      <c r="B13254" s="3" t="str">
        <f>"00705996"</f>
        <v>00705996</v>
      </c>
    </row>
    <row r="13255" spans="1:2" x14ac:dyDescent="0.25">
      <c r="A13255" s="4">
        <v>13250</v>
      </c>
      <c r="B13255" s="3" t="str">
        <f>"00705999"</f>
        <v>00705999</v>
      </c>
    </row>
    <row r="13256" spans="1:2" x14ac:dyDescent="0.25">
      <c r="A13256" s="4">
        <v>13251</v>
      </c>
      <c r="B13256" s="3" t="str">
        <f>"00706001"</f>
        <v>00706001</v>
      </c>
    </row>
    <row r="13257" spans="1:2" x14ac:dyDescent="0.25">
      <c r="A13257" s="4">
        <v>13252</v>
      </c>
      <c r="B13257" s="3" t="str">
        <f>"00706007"</f>
        <v>00706007</v>
      </c>
    </row>
    <row r="13258" spans="1:2" x14ac:dyDescent="0.25">
      <c r="A13258" s="4">
        <v>13253</v>
      </c>
      <c r="B13258" s="3" t="str">
        <f>"00706021"</f>
        <v>00706021</v>
      </c>
    </row>
    <row r="13259" spans="1:2" x14ac:dyDescent="0.25">
      <c r="A13259" s="4">
        <v>13254</v>
      </c>
      <c r="B13259" s="3" t="str">
        <f>"00706040"</f>
        <v>00706040</v>
      </c>
    </row>
    <row r="13260" spans="1:2" x14ac:dyDescent="0.25">
      <c r="A13260" s="4">
        <v>13255</v>
      </c>
      <c r="B13260" s="3" t="str">
        <f>"00706059"</f>
        <v>00706059</v>
      </c>
    </row>
    <row r="13261" spans="1:2" x14ac:dyDescent="0.25">
      <c r="A13261" s="4">
        <v>13256</v>
      </c>
      <c r="B13261" s="3" t="str">
        <f>"00706060"</f>
        <v>00706060</v>
      </c>
    </row>
    <row r="13262" spans="1:2" x14ac:dyDescent="0.25">
      <c r="A13262" s="4">
        <v>13257</v>
      </c>
      <c r="B13262" s="3" t="str">
        <f>"00706080"</f>
        <v>00706080</v>
      </c>
    </row>
    <row r="13263" spans="1:2" x14ac:dyDescent="0.25">
      <c r="A13263" s="4">
        <v>13258</v>
      </c>
      <c r="B13263" s="3" t="str">
        <f>"00706112"</f>
        <v>00706112</v>
      </c>
    </row>
    <row r="13264" spans="1:2" x14ac:dyDescent="0.25">
      <c r="A13264" s="4">
        <v>13259</v>
      </c>
      <c r="B13264" s="3" t="str">
        <f>"00706113"</f>
        <v>00706113</v>
      </c>
    </row>
    <row r="13265" spans="1:2" x14ac:dyDescent="0.25">
      <c r="A13265" s="4">
        <v>13260</v>
      </c>
      <c r="B13265" s="3" t="str">
        <f>"00706118"</f>
        <v>00706118</v>
      </c>
    </row>
    <row r="13266" spans="1:2" x14ac:dyDescent="0.25">
      <c r="A13266" s="4">
        <v>13261</v>
      </c>
      <c r="B13266" s="3" t="str">
        <f>"00706120"</f>
        <v>00706120</v>
      </c>
    </row>
    <row r="13267" spans="1:2" x14ac:dyDescent="0.25">
      <c r="A13267" s="4">
        <v>13262</v>
      </c>
      <c r="B13267" s="3" t="str">
        <f>"00706126"</f>
        <v>00706126</v>
      </c>
    </row>
    <row r="13268" spans="1:2" x14ac:dyDescent="0.25">
      <c r="A13268" s="4">
        <v>13263</v>
      </c>
      <c r="B13268" s="3" t="str">
        <f>"00706128"</f>
        <v>00706128</v>
      </c>
    </row>
    <row r="13269" spans="1:2" x14ac:dyDescent="0.25">
      <c r="A13269" s="4">
        <v>13264</v>
      </c>
      <c r="B13269" s="3" t="str">
        <f>"00706207"</f>
        <v>00706207</v>
      </c>
    </row>
    <row r="13270" spans="1:2" x14ac:dyDescent="0.25">
      <c r="A13270" s="4">
        <v>13265</v>
      </c>
      <c r="B13270" s="3" t="str">
        <f>"00706209"</f>
        <v>00706209</v>
      </c>
    </row>
    <row r="13271" spans="1:2" x14ac:dyDescent="0.25">
      <c r="A13271" s="4">
        <v>13266</v>
      </c>
      <c r="B13271" s="3" t="str">
        <f>"00706211"</f>
        <v>00706211</v>
      </c>
    </row>
    <row r="13272" spans="1:2" x14ac:dyDescent="0.25">
      <c r="A13272" s="4">
        <v>13267</v>
      </c>
      <c r="B13272" s="3" t="str">
        <f>"00707575"</f>
        <v>00707575</v>
      </c>
    </row>
    <row r="13273" spans="1:2" x14ac:dyDescent="0.25">
      <c r="A13273" s="4">
        <v>13268</v>
      </c>
      <c r="B13273" s="3" t="str">
        <f>"00707648"</f>
        <v>00707648</v>
      </c>
    </row>
    <row r="13274" spans="1:2" x14ac:dyDescent="0.25">
      <c r="A13274" s="4">
        <v>13269</v>
      </c>
      <c r="B13274" s="3" t="str">
        <f>"00707692"</f>
        <v>00707692</v>
      </c>
    </row>
    <row r="13275" spans="1:2" x14ac:dyDescent="0.25">
      <c r="A13275" s="4">
        <v>13270</v>
      </c>
      <c r="B13275" s="3" t="str">
        <f>"00707952"</f>
        <v>00707952</v>
      </c>
    </row>
    <row r="13276" spans="1:2" x14ac:dyDescent="0.25">
      <c r="A13276" s="4">
        <v>13271</v>
      </c>
      <c r="B13276" s="3" t="str">
        <f>"00708077"</f>
        <v>00708077</v>
      </c>
    </row>
    <row r="13277" spans="1:2" x14ac:dyDescent="0.25">
      <c r="A13277" s="4">
        <v>13272</v>
      </c>
      <c r="B13277" s="3" t="str">
        <f>"00708267"</f>
        <v>00708267</v>
      </c>
    </row>
    <row r="13278" spans="1:2" x14ac:dyDescent="0.25">
      <c r="A13278" s="4">
        <v>13273</v>
      </c>
      <c r="B13278" s="3" t="str">
        <f>"00708328"</f>
        <v>00708328</v>
      </c>
    </row>
    <row r="13279" spans="1:2" x14ac:dyDescent="0.25">
      <c r="A13279" s="4">
        <v>13274</v>
      </c>
      <c r="B13279" s="3" t="str">
        <f>"00708403"</f>
        <v>00708403</v>
      </c>
    </row>
    <row r="13280" spans="1:2" x14ac:dyDescent="0.25">
      <c r="A13280" s="4">
        <v>13275</v>
      </c>
      <c r="B13280" s="19" t="s">
        <v>13</v>
      </c>
    </row>
    <row r="13281" spans="1:2" x14ac:dyDescent="0.25">
      <c r="A13281" s="4">
        <v>13276</v>
      </c>
      <c r="B13281" s="3" t="str">
        <f>"00708510"</f>
        <v>00708510</v>
      </c>
    </row>
    <row r="13282" spans="1:2" x14ac:dyDescent="0.25">
      <c r="A13282" s="4">
        <v>13277</v>
      </c>
      <c r="B13282" s="3" t="str">
        <f>"00708520"</f>
        <v>00708520</v>
      </c>
    </row>
    <row r="13283" spans="1:2" x14ac:dyDescent="0.25">
      <c r="A13283" s="4">
        <v>13278</v>
      </c>
      <c r="B13283" s="3" t="str">
        <f>"00708525"</f>
        <v>00708525</v>
      </c>
    </row>
    <row r="13284" spans="1:2" x14ac:dyDescent="0.25">
      <c r="A13284" s="4">
        <v>13279</v>
      </c>
      <c r="B13284" s="3" t="str">
        <f>"00708528"</f>
        <v>00708528</v>
      </c>
    </row>
    <row r="13285" spans="1:2" x14ac:dyDescent="0.25">
      <c r="A13285" s="4">
        <v>13280</v>
      </c>
      <c r="B13285" s="3" t="str">
        <f>"00708533"</f>
        <v>00708533</v>
      </c>
    </row>
    <row r="13286" spans="1:2" x14ac:dyDescent="0.25">
      <c r="A13286" s="4">
        <v>13281</v>
      </c>
      <c r="B13286" s="3" t="str">
        <f>"00708539"</f>
        <v>00708539</v>
      </c>
    </row>
    <row r="13287" spans="1:2" x14ac:dyDescent="0.25">
      <c r="A13287" s="4">
        <v>13282</v>
      </c>
      <c r="B13287" s="3" t="str">
        <f>"00708548"</f>
        <v>00708548</v>
      </c>
    </row>
    <row r="13288" spans="1:2" x14ac:dyDescent="0.25">
      <c r="A13288" s="4">
        <v>13283</v>
      </c>
      <c r="B13288" s="3" t="str">
        <f>"00708550"</f>
        <v>00708550</v>
      </c>
    </row>
    <row r="13289" spans="1:2" x14ac:dyDescent="0.25">
      <c r="A13289" s="4">
        <v>13284</v>
      </c>
      <c r="B13289" s="3" t="str">
        <f>"00708557"</f>
        <v>00708557</v>
      </c>
    </row>
    <row r="13290" spans="1:2" x14ac:dyDescent="0.25">
      <c r="A13290" s="4">
        <v>13285</v>
      </c>
      <c r="B13290" s="3" t="str">
        <f>"00708558"</f>
        <v>00708558</v>
      </c>
    </row>
    <row r="13291" spans="1:2" x14ac:dyDescent="0.25">
      <c r="A13291" s="4">
        <v>13286</v>
      </c>
      <c r="B13291" s="3" t="str">
        <f>"00708585"</f>
        <v>00708585</v>
      </c>
    </row>
    <row r="13292" spans="1:2" x14ac:dyDescent="0.25">
      <c r="A13292" s="4">
        <v>13287</v>
      </c>
      <c r="B13292" s="3" t="str">
        <f>"00708589"</f>
        <v>00708589</v>
      </c>
    </row>
    <row r="13293" spans="1:2" x14ac:dyDescent="0.25">
      <c r="A13293" s="4">
        <v>13288</v>
      </c>
      <c r="B13293" s="3" t="str">
        <f>"00708613"</f>
        <v>00708613</v>
      </c>
    </row>
    <row r="13294" spans="1:2" x14ac:dyDescent="0.25">
      <c r="A13294" s="4">
        <v>13289</v>
      </c>
      <c r="B13294" s="3" t="str">
        <f>"00708615"</f>
        <v>00708615</v>
      </c>
    </row>
    <row r="13295" spans="1:2" x14ac:dyDescent="0.25">
      <c r="A13295" s="4">
        <v>13290</v>
      </c>
      <c r="B13295" s="3" t="str">
        <f>"00708623"</f>
        <v>00708623</v>
      </c>
    </row>
    <row r="13296" spans="1:2" x14ac:dyDescent="0.25">
      <c r="A13296" s="4">
        <v>13291</v>
      </c>
      <c r="B13296" s="3" t="str">
        <f>"00708629"</f>
        <v>00708629</v>
      </c>
    </row>
    <row r="13297" spans="1:2" x14ac:dyDescent="0.25">
      <c r="A13297" s="4">
        <v>13292</v>
      </c>
      <c r="B13297" s="3" t="str">
        <f>"00708631"</f>
        <v>00708631</v>
      </c>
    </row>
    <row r="13298" spans="1:2" x14ac:dyDescent="0.25">
      <c r="A13298" s="4">
        <v>13293</v>
      </c>
      <c r="B13298" s="3" t="str">
        <f>"00708634"</f>
        <v>00708634</v>
      </c>
    </row>
    <row r="13299" spans="1:2" x14ac:dyDescent="0.25">
      <c r="A13299" s="4">
        <v>13294</v>
      </c>
      <c r="B13299" s="3" t="str">
        <f>"00708640"</f>
        <v>00708640</v>
      </c>
    </row>
    <row r="13300" spans="1:2" x14ac:dyDescent="0.25">
      <c r="A13300" s="4">
        <v>13295</v>
      </c>
      <c r="B13300" s="3" t="str">
        <f>"00708649"</f>
        <v>00708649</v>
      </c>
    </row>
    <row r="13301" spans="1:2" x14ac:dyDescent="0.25">
      <c r="A13301" s="4">
        <v>13296</v>
      </c>
      <c r="B13301" s="3" t="str">
        <f>"00708652"</f>
        <v>00708652</v>
      </c>
    </row>
    <row r="13302" spans="1:2" x14ac:dyDescent="0.25">
      <c r="A13302" s="4">
        <v>13297</v>
      </c>
      <c r="B13302" s="3" t="str">
        <f>"00708656"</f>
        <v>00708656</v>
      </c>
    </row>
    <row r="13303" spans="1:2" x14ac:dyDescent="0.25">
      <c r="A13303" s="4">
        <v>13298</v>
      </c>
      <c r="B13303" s="3" t="str">
        <f>"00708662"</f>
        <v>00708662</v>
      </c>
    </row>
    <row r="13304" spans="1:2" x14ac:dyDescent="0.25">
      <c r="A13304" s="4">
        <v>13299</v>
      </c>
      <c r="B13304" s="3" t="str">
        <f>"00708663"</f>
        <v>00708663</v>
      </c>
    </row>
    <row r="13305" spans="1:2" x14ac:dyDescent="0.25">
      <c r="A13305" s="4">
        <v>13300</v>
      </c>
      <c r="B13305" s="3" t="str">
        <f>"00708664"</f>
        <v>00708664</v>
      </c>
    </row>
    <row r="13306" spans="1:2" x14ac:dyDescent="0.25">
      <c r="A13306" s="4">
        <v>13301</v>
      </c>
      <c r="B13306" s="3" t="str">
        <f>"00708687"</f>
        <v>00708687</v>
      </c>
    </row>
    <row r="13307" spans="1:2" x14ac:dyDescent="0.25">
      <c r="A13307" s="4">
        <v>13302</v>
      </c>
      <c r="B13307" s="3" t="str">
        <f>"00708694"</f>
        <v>00708694</v>
      </c>
    </row>
    <row r="13308" spans="1:2" x14ac:dyDescent="0.25">
      <c r="A13308" s="4">
        <v>13303</v>
      </c>
      <c r="B13308" s="3" t="str">
        <f>"00708697"</f>
        <v>00708697</v>
      </c>
    </row>
    <row r="13309" spans="1:2" x14ac:dyDescent="0.25">
      <c r="A13309" s="4">
        <v>13304</v>
      </c>
      <c r="B13309" s="3" t="str">
        <f>"00708710"</f>
        <v>00708710</v>
      </c>
    </row>
    <row r="13310" spans="1:2" x14ac:dyDescent="0.25">
      <c r="A13310" s="4">
        <v>13305</v>
      </c>
      <c r="B13310" s="3" t="str">
        <f>"00708716"</f>
        <v>00708716</v>
      </c>
    </row>
    <row r="13311" spans="1:2" x14ac:dyDescent="0.25">
      <c r="A13311" s="4">
        <v>13306</v>
      </c>
      <c r="B13311" s="3" t="str">
        <f>"00708718"</f>
        <v>00708718</v>
      </c>
    </row>
    <row r="13312" spans="1:2" x14ac:dyDescent="0.25">
      <c r="A13312" s="4">
        <v>13307</v>
      </c>
      <c r="B13312" s="3" t="str">
        <f>"00708723"</f>
        <v>00708723</v>
      </c>
    </row>
    <row r="13313" spans="1:2" x14ac:dyDescent="0.25">
      <c r="A13313" s="4">
        <v>13308</v>
      </c>
      <c r="B13313" s="3" t="str">
        <f>"00708734"</f>
        <v>00708734</v>
      </c>
    </row>
    <row r="13314" spans="1:2" x14ac:dyDescent="0.25">
      <c r="A13314" s="4">
        <v>13309</v>
      </c>
      <c r="B13314" s="3" t="str">
        <f>"00708769"</f>
        <v>00708769</v>
      </c>
    </row>
    <row r="13315" spans="1:2" x14ac:dyDescent="0.25">
      <c r="A13315" s="4">
        <v>13310</v>
      </c>
      <c r="B13315" s="3" t="str">
        <f>"00708779"</f>
        <v>00708779</v>
      </c>
    </row>
    <row r="13316" spans="1:2" x14ac:dyDescent="0.25">
      <c r="A13316" s="4">
        <v>13311</v>
      </c>
      <c r="B13316" s="3" t="str">
        <f>"00708782"</f>
        <v>00708782</v>
      </c>
    </row>
    <row r="13317" spans="1:2" x14ac:dyDescent="0.25">
      <c r="A13317" s="4">
        <v>13312</v>
      </c>
      <c r="B13317" s="3" t="str">
        <f>"00708784"</f>
        <v>00708784</v>
      </c>
    </row>
    <row r="13318" spans="1:2" x14ac:dyDescent="0.25">
      <c r="A13318" s="4">
        <v>13313</v>
      </c>
      <c r="B13318" s="3" t="str">
        <f>"00708787"</f>
        <v>00708787</v>
      </c>
    </row>
    <row r="13319" spans="1:2" x14ac:dyDescent="0.25">
      <c r="A13319" s="4">
        <v>13314</v>
      </c>
      <c r="B13319" s="3" t="str">
        <f>"00708800"</f>
        <v>00708800</v>
      </c>
    </row>
    <row r="13320" spans="1:2" x14ac:dyDescent="0.25">
      <c r="A13320" s="4">
        <v>13315</v>
      </c>
      <c r="B13320" s="3" t="str">
        <f>"00708811"</f>
        <v>00708811</v>
      </c>
    </row>
    <row r="13321" spans="1:2" x14ac:dyDescent="0.25">
      <c r="A13321" s="4">
        <v>13316</v>
      </c>
      <c r="B13321" s="3" t="str">
        <f>"00708840"</f>
        <v>00708840</v>
      </c>
    </row>
    <row r="13322" spans="1:2" x14ac:dyDescent="0.25">
      <c r="A13322" s="4">
        <v>13317</v>
      </c>
      <c r="B13322" s="3" t="str">
        <f>"00708859"</f>
        <v>00708859</v>
      </c>
    </row>
    <row r="13323" spans="1:2" x14ac:dyDescent="0.25">
      <c r="A13323" s="4">
        <v>13318</v>
      </c>
      <c r="B13323" s="3" t="str">
        <f>"00708866"</f>
        <v>00708866</v>
      </c>
    </row>
    <row r="13324" spans="1:2" x14ac:dyDescent="0.25">
      <c r="A13324" s="4">
        <v>13319</v>
      </c>
      <c r="B13324" s="3" t="str">
        <f>"00708868"</f>
        <v>00708868</v>
      </c>
    </row>
    <row r="13325" spans="1:2" x14ac:dyDescent="0.25">
      <c r="A13325" s="4">
        <v>13320</v>
      </c>
      <c r="B13325" s="3" t="str">
        <f>"00708872"</f>
        <v>00708872</v>
      </c>
    </row>
    <row r="13326" spans="1:2" x14ac:dyDescent="0.25">
      <c r="A13326" s="4">
        <v>13321</v>
      </c>
      <c r="B13326" s="3" t="str">
        <f>"00708876"</f>
        <v>00708876</v>
      </c>
    </row>
    <row r="13327" spans="1:2" x14ac:dyDescent="0.25">
      <c r="A13327" s="4">
        <v>13322</v>
      </c>
      <c r="B13327" s="3" t="str">
        <f>"00708881"</f>
        <v>00708881</v>
      </c>
    </row>
    <row r="13328" spans="1:2" x14ac:dyDescent="0.25">
      <c r="A13328" s="4">
        <v>13323</v>
      </c>
      <c r="B13328" s="3" t="str">
        <f>"00708906"</f>
        <v>00708906</v>
      </c>
    </row>
    <row r="13329" spans="1:2" x14ac:dyDescent="0.25">
      <c r="A13329" s="4">
        <v>13324</v>
      </c>
      <c r="B13329" s="3" t="str">
        <f>"00708916"</f>
        <v>00708916</v>
      </c>
    </row>
    <row r="13330" spans="1:2" x14ac:dyDescent="0.25">
      <c r="A13330" s="4">
        <v>13325</v>
      </c>
      <c r="B13330" s="3" t="str">
        <f>"00708918"</f>
        <v>00708918</v>
      </c>
    </row>
    <row r="13331" spans="1:2" x14ac:dyDescent="0.25">
      <c r="A13331" s="4">
        <v>13326</v>
      </c>
      <c r="B13331" s="3" t="str">
        <f>"00708928"</f>
        <v>00708928</v>
      </c>
    </row>
    <row r="13332" spans="1:2" x14ac:dyDescent="0.25">
      <c r="A13332" s="4">
        <v>13327</v>
      </c>
      <c r="B13332" s="3" t="str">
        <f>"00708933"</f>
        <v>00708933</v>
      </c>
    </row>
    <row r="13333" spans="1:2" x14ac:dyDescent="0.25">
      <c r="A13333" s="4">
        <v>13328</v>
      </c>
      <c r="B13333" s="3" t="str">
        <f>"00708956"</f>
        <v>00708956</v>
      </c>
    </row>
    <row r="13334" spans="1:2" x14ac:dyDescent="0.25">
      <c r="A13334" s="4">
        <v>13329</v>
      </c>
      <c r="B13334" s="3" t="str">
        <f>"00708971"</f>
        <v>00708971</v>
      </c>
    </row>
    <row r="13335" spans="1:2" x14ac:dyDescent="0.25">
      <c r="A13335" s="4">
        <v>13330</v>
      </c>
      <c r="B13335" s="3" t="str">
        <f>"00708987"</f>
        <v>00708987</v>
      </c>
    </row>
    <row r="13336" spans="1:2" x14ac:dyDescent="0.25">
      <c r="A13336" s="4">
        <v>13331</v>
      </c>
      <c r="B13336" s="3" t="str">
        <f>"00708991"</f>
        <v>00708991</v>
      </c>
    </row>
    <row r="13337" spans="1:2" x14ac:dyDescent="0.25">
      <c r="A13337" s="4">
        <v>13332</v>
      </c>
      <c r="B13337" s="3" t="str">
        <f>"00708994"</f>
        <v>00708994</v>
      </c>
    </row>
    <row r="13338" spans="1:2" x14ac:dyDescent="0.25">
      <c r="A13338" s="4">
        <v>13333</v>
      </c>
      <c r="B13338" s="3" t="str">
        <f>"00709002"</f>
        <v>00709002</v>
      </c>
    </row>
    <row r="13339" spans="1:2" x14ac:dyDescent="0.25">
      <c r="A13339" s="4">
        <v>13334</v>
      </c>
      <c r="B13339" s="3" t="str">
        <f>"00709017"</f>
        <v>00709017</v>
      </c>
    </row>
    <row r="13340" spans="1:2" x14ac:dyDescent="0.25">
      <c r="A13340" s="4">
        <v>13335</v>
      </c>
      <c r="B13340" s="3" t="str">
        <f>"00709019"</f>
        <v>00709019</v>
      </c>
    </row>
    <row r="13341" spans="1:2" x14ac:dyDescent="0.25">
      <c r="A13341" s="4">
        <v>13336</v>
      </c>
      <c r="B13341" s="3" t="str">
        <f>"00709025"</f>
        <v>00709025</v>
      </c>
    </row>
    <row r="13342" spans="1:2" x14ac:dyDescent="0.25">
      <c r="A13342" s="4">
        <v>13337</v>
      </c>
      <c r="B13342" s="3" t="str">
        <f>"00709035"</f>
        <v>00709035</v>
      </c>
    </row>
    <row r="13343" spans="1:2" x14ac:dyDescent="0.25">
      <c r="A13343" s="4">
        <v>13338</v>
      </c>
      <c r="B13343" s="3" t="str">
        <f>"00709037"</f>
        <v>00709037</v>
      </c>
    </row>
    <row r="13344" spans="1:2" x14ac:dyDescent="0.25">
      <c r="A13344" s="4">
        <v>13339</v>
      </c>
      <c r="B13344" s="3" t="str">
        <f>"00709040"</f>
        <v>00709040</v>
      </c>
    </row>
    <row r="13345" spans="1:2" x14ac:dyDescent="0.25">
      <c r="A13345" s="4">
        <v>13340</v>
      </c>
      <c r="B13345" s="3" t="str">
        <f>"00709084"</f>
        <v>00709084</v>
      </c>
    </row>
    <row r="13346" spans="1:2" x14ac:dyDescent="0.25">
      <c r="A13346" s="4">
        <v>13341</v>
      </c>
      <c r="B13346" s="3" t="str">
        <f>"00709085"</f>
        <v>00709085</v>
      </c>
    </row>
    <row r="13347" spans="1:2" x14ac:dyDescent="0.25">
      <c r="A13347" s="4">
        <v>13342</v>
      </c>
      <c r="B13347" s="3" t="str">
        <f>"00709089"</f>
        <v>00709089</v>
      </c>
    </row>
    <row r="13348" spans="1:2" x14ac:dyDescent="0.25">
      <c r="A13348" s="4">
        <v>13343</v>
      </c>
      <c r="B13348" s="3" t="str">
        <f>"00709094"</f>
        <v>00709094</v>
      </c>
    </row>
    <row r="13349" spans="1:2" x14ac:dyDescent="0.25">
      <c r="A13349" s="4">
        <v>13344</v>
      </c>
      <c r="B13349" s="3" t="str">
        <f>"00709101"</f>
        <v>00709101</v>
      </c>
    </row>
    <row r="13350" spans="1:2" x14ac:dyDescent="0.25">
      <c r="A13350" s="4">
        <v>13345</v>
      </c>
      <c r="B13350" s="3" t="str">
        <f>"00709113"</f>
        <v>00709113</v>
      </c>
    </row>
    <row r="13351" spans="1:2" x14ac:dyDescent="0.25">
      <c r="A13351" s="4">
        <v>13346</v>
      </c>
      <c r="B13351" s="3" t="str">
        <f>"00709120"</f>
        <v>00709120</v>
      </c>
    </row>
    <row r="13352" spans="1:2" x14ac:dyDescent="0.25">
      <c r="A13352" s="4">
        <v>13347</v>
      </c>
      <c r="B13352" s="3" t="str">
        <f>"00709139"</f>
        <v>00709139</v>
      </c>
    </row>
    <row r="13353" spans="1:2" x14ac:dyDescent="0.25">
      <c r="A13353" s="4">
        <v>13348</v>
      </c>
      <c r="B13353" s="3" t="str">
        <f>"00709143"</f>
        <v>00709143</v>
      </c>
    </row>
    <row r="13354" spans="1:2" x14ac:dyDescent="0.25">
      <c r="A13354" s="4">
        <v>13349</v>
      </c>
      <c r="B13354" s="3" t="str">
        <f>"00709145"</f>
        <v>00709145</v>
      </c>
    </row>
    <row r="13355" spans="1:2" x14ac:dyDescent="0.25">
      <c r="A13355" s="4">
        <v>13350</v>
      </c>
      <c r="B13355" s="3" t="str">
        <f>"00709148"</f>
        <v>00709148</v>
      </c>
    </row>
    <row r="13356" spans="1:2" x14ac:dyDescent="0.25">
      <c r="A13356" s="4">
        <v>13351</v>
      </c>
      <c r="B13356" s="3" t="str">
        <f>"00709152"</f>
        <v>00709152</v>
      </c>
    </row>
    <row r="13357" spans="1:2" x14ac:dyDescent="0.25">
      <c r="A13357" s="4">
        <v>13352</v>
      </c>
      <c r="B13357" s="3" t="str">
        <f>"00709155"</f>
        <v>00709155</v>
      </c>
    </row>
    <row r="13358" spans="1:2" x14ac:dyDescent="0.25">
      <c r="A13358" s="4">
        <v>13353</v>
      </c>
      <c r="B13358" s="3" t="str">
        <f>"00709162"</f>
        <v>00709162</v>
      </c>
    </row>
    <row r="13359" spans="1:2" x14ac:dyDescent="0.25">
      <c r="A13359" s="4">
        <v>13354</v>
      </c>
      <c r="B13359" s="3" t="str">
        <f>"00709167"</f>
        <v>00709167</v>
      </c>
    </row>
    <row r="13360" spans="1:2" x14ac:dyDescent="0.25">
      <c r="A13360" s="4">
        <v>13355</v>
      </c>
      <c r="B13360" s="3" t="str">
        <f>"00709176"</f>
        <v>00709176</v>
      </c>
    </row>
    <row r="13361" spans="1:2" x14ac:dyDescent="0.25">
      <c r="A13361" s="4">
        <v>13356</v>
      </c>
      <c r="B13361" s="3" t="str">
        <f>"00709179"</f>
        <v>00709179</v>
      </c>
    </row>
    <row r="13362" spans="1:2" x14ac:dyDescent="0.25">
      <c r="A13362" s="4">
        <v>13357</v>
      </c>
      <c r="B13362" s="3" t="str">
        <f>"00709184"</f>
        <v>00709184</v>
      </c>
    </row>
    <row r="13363" spans="1:2" x14ac:dyDescent="0.25">
      <c r="A13363" s="4">
        <v>13358</v>
      </c>
      <c r="B13363" s="3" t="str">
        <f>"00709199"</f>
        <v>00709199</v>
      </c>
    </row>
    <row r="13364" spans="1:2" x14ac:dyDescent="0.25">
      <c r="A13364" s="4">
        <v>13359</v>
      </c>
      <c r="B13364" s="3" t="str">
        <f>"00709203"</f>
        <v>00709203</v>
      </c>
    </row>
    <row r="13365" spans="1:2" x14ac:dyDescent="0.25">
      <c r="A13365" s="4">
        <v>13360</v>
      </c>
      <c r="B13365" s="3" t="str">
        <f>"00709204"</f>
        <v>00709204</v>
      </c>
    </row>
    <row r="13366" spans="1:2" x14ac:dyDescent="0.25">
      <c r="A13366" s="4">
        <v>13361</v>
      </c>
      <c r="B13366" s="3" t="str">
        <f>"00709216"</f>
        <v>00709216</v>
      </c>
    </row>
    <row r="13367" spans="1:2" x14ac:dyDescent="0.25">
      <c r="A13367" s="4">
        <v>13362</v>
      </c>
      <c r="B13367" s="3" t="str">
        <f>"00709232"</f>
        <v>00709232</v>
      </c>
    </row>
    <row r="13368" spans="1:2" x14ac:dyDescent="0.25">
      <c r="A13368" s="4">
        <v>13363</v>
      </c>
      <c r="B13368" s="3" t="str">
        <f>"00709236"</f>
        <v>00709236</v>
      </c>
    </row>
    <row r="13369" spans="1:2" x14ac:dyDescent="0.25">
      <c r="A13369" s="4">
        <v>13364</v>
      </c>
      <c r="B13369" s="3" t="str">
        <f>"00709243"</f>
        <v>00709243</v>
      </c>
    </row>
    <row r="13370" spans="1:2" x14ac:dyDescent="0.25">
      <c r="A13370" s="4">
        <v>13365</v>
      </c>
      <c r="B13370" s="3" t="str">
        <f>"00709248"</f>
        <v>00709248</v>
      </c>
    </row>
    <row r="13371" spans="1:2" x14ac:dyDescent="0.25">
      <c r="A13371" s="4">
        <v>13366</v>
      </c>
      <c r="B13371" s="3" t="str">
        <f>"00709253"</f>
        <v>00709253</v>
      </c>
    </row>
    <row r="13372" spans="1:2" x14ac:dyDescent="0.25">
      <c r="A13372" s="4">
        <v>13367</v>
      </c>
      <c r="B13372" s="3" t="str">
        <f>"00709265"</f>
        <v>00709265</v>
      </c>
    </row>
    <row r="13373" spans="1:2" x14ac:dyDescent="0.25">
      <c r="A13373" s="4">
        <v>13368</v>
      </c>
      <c r="B13373" s="3" t="str">
        <f>"00709283"</f>
        <v>00709283</v>
      </c>
    </row>
    <row r="13374" spans="1:2" x14ac:dyDescent="0.25">
      <c r="A13374" s="4">
        <v>13369</v>
      </c>
      <c r="B13374" s="3" t="str">
        <f>"00709290"</f>
        <v>00709290</v>
      </c>
    </row>
    <row r="13375" spans="1:2" x14ac:dyDescent="0.25">
      <c r="A13375" s="4">
        <v>13370</v>
      </c>
      <c r="B13375" s="3" t="str">
        <f>"00709298"</f>
        <v>00709298</v>
      </c>
    </row>
    <row r="13376" spans="1:2" x14ac:dyDescent="0.25">
      <c r="A13376" s="4">
        <v>13371</v>
      </c>
      <c r="B13376" s="3" t="str">
        <f>"00709307"</f>
        <v>00709307</v>
      </c>
    </row>
    <row r="13377" spans="1:2" x14ac:dyDescent="0.25">
      <c r="A13377" s="4">
        <v>13372</v>
      </c>
      <c r="B13377" s="3" t="str">
        <f>"00709313"</f>
        <v>00709313</v>
      </c>
    </row>
    <row r="13378" spans="1:2" x14ac:dyDescent="0.25">
      <c r="A13378" s="4">
        <v>13373</v>
      </c>
      <c r="B13378" s="3" t="str">
        <f>"00709323"</f>
        <v>00709323</v>
      </c>
    </row>
    <row r="13379" spans="1:2" x14ac:dyDescent="0.25">
      <c r="A13379" s="4">
        <v>13374</v>
      </c>
      <c r="B13379" s="3" t="str">
        <f>"00709325"</f>
        <v>00709325</v>
      </c>
    </row>
    <row r="13380" spans="1:2" x14ac:dyDescent="0.25">
      <c r="A13380" s="4">
        <v>13375</v>
      </c>
      <c r="B13380" s="3" t="str">
        <f>"00709331"</f>
        <v>00709331</v>
      </c>
    </row>
    <row r="13381" spans="1:2" x14ac:dyDescent="0.25">
      <c r="A13381" s="4">
        <v>13376</v>
      </c>
      <c r="B13381" s="3" t="str">
        <f>"00709335"</f>
        <v>00709335</v>
      </c>
    </row>
    <row r="13382" spans="1:2" x14ac:dyDescent="0.25">
      <c r="A13382" s="4">
        <v>13377</v>
      </c>
      <c r="B13382" s="3" t="str">
        <f>"00709339"</f>
        <v>00709339</v>
      </c>
    </row>
    <row r="13383" spans="1:2" x14ac:dyDescent="0.25">
      <c r="A13383" s="4">
        <v>13378</v>
      </c>
      <c r="B13383" s="19" t="s">
        <v>8</v>
      </c>
    </row>
    <row r="13384" spans="1:2" x14ac:dyDescent="0.25">
      <c r="A13384" s="4">
        <v>13379</v>
      </c>
      <c r="B13384" s="3" t="str">
        <f>"00709344"</f>
        <v>00709344</v>
      </c>
    </row>
    <row r="13385" spans="1:2" x14ac:dyDescent="0.25">
      <c r="A13385" s="4">
        <v>13380</v>
      </c>
      <c r="B13385" s="3" t="str">
        <f>"00709361"</f>
        <v>00709361</v>
      </c>
    </row>
    <row r="13386" spans="1:2" x14ac:dyDescent="0.25">
      <c r="A13386" s="4">
        <v>13381</v>
      </c>
      <c r="B13386" s="3" t="str">
        <f>"00709364"</f>
        <v>00709364</v>
      </c>
    </row>
    <row r="13387" spans="1:2" x14ac:dyDescent="0.25">
      <c r="A13387" s="4">
        <v>13382</v>
      </c>
      <c r="B13387" s="3" t="str">
        <f>"00709378"</f>
        <v>00709378</v>
      </c>
    </row>
    <row r="13388" spans="1:2" x14ac:dyDescent="0.25">
      <c r="A13388" s="4">
        <v>13383</v>
      </c>
      <c r="B13388" s="3" t="str">
        <f>"00709379"</f>
        <v>00709379</v>
      </c>
    </row>
    <row r="13389" spans="1:2" x14ac:dyDescent="0.25">
      <c r="A13389" s="4">
        <v>13384</v>
      </c>
      <c r="B13389" s="3" t="str">
        <f>"00709385"</f>
        <v>00709385</v>
      </c>
    </row>
    <row r="13390" spans="1:2" x14ac:dyDescent="0.25">
      <c r="A13390" s="4">
        <v>13385</v>
      </c>
      <c r="B13390" s="3" t="str">
        <f>"00709390"</f>
        <v>00709390</v>
      </c>
    </row>
    <row r="13391" spans="1:2" x14ac:dyDescent="0.25">
      <c r="A13391" s="4">
        <v>13386</v>
      </c>
      <c r="B13391" s="3" t="str">
        <f>"00709391"</f>
        <v>00709391</v>
      </c>
    </row>
    <row r="13392" spans="1:2" x14ac:dyDescent="0.25">
      <c r="A13392" s="4">
        <v>13387</v>
      </c>
      <c r="B13392" s="3" t="str">
        <f>"00709393"</f>
        <v>00709393</v>
      </c>
    </row>
    <row r="13393" spans="1:2" x14ac:dyDescent="0.25">
      <c r="A13393" s="4">
        <v>13388</v>
      </c>
      <c r="B13393" s="3" t="str">
        <f>"00709395"</f>
        <v>00709395</v>
      </c>
    </row>
    <row r="13394" spans="1:2" x14ac:dyDescent="0.25">
      <c r="A13394" s="4">
        <v>13389</v>
      </c>
      <c r="B13394" s="3" t="str">
        <f>"00709401"</f>
        <v>00709401</v>
      </c>
    </row>
    <row r="13395" spans="1:2" x14ac:dyDescent="0.25">
      <c r="A13395" s="4">
        <v>13390</v>
      </c>
      <c r="B13395" s="3" t="str">
        <f>"00709403"</f>
        <v>00709403</v>
      </c>
    </row>
    <row r="13396" spans="1:2" x14ac:dyDescent="0.25">
      <c r="A13396" s="4">
        <v>13391</v>
      </c>
      <c r="B13396" s="3" t="str">
        <f>"00709406"</f>
        <v>00709406</v>
      </c>
    </row>
    <row r="13397" spans="1:2" x14ac:dyDescent="0.25">
      <c r="A13397" s="4">
        <v>13392</v>
      </c>
      <c r="B13397" s="3" t="str">
        <f>"00709408"</f>
        <v>00709408</v>
      </c>
    </row>
    <row r="13398" spans="1:2" x14ac:dyDescent="0.25">
      <c r="A13398" s="4">
        <v>13393</v>
      </c>
      <c r="B13398" s="3" t="str">
        <f>"00709410"</f>
        <v>00709410</v>
      </c>
    </row>
    <row r="13399" spans="1:2" x14ac:dyDescent="0.25">
      <c r="A13399" s="4">
        <v>13394</v>
      </c>
      <c r="B13399" s="3" t="str">
        <f>"00709425"</f>
        <v>00709425</v>
      </c>
    </row>
    <row r="13400" spans="1:2" x14ac:dyDescent="0.25">
      <c r="A13400" s="4">
        <v>13395</v>
      </c>
      <c r="B13400" s="3" t="str">
        <f>"00709433"</f>
        <v>00709433</v>
      </c>
    </row>
    <row r="13401" spans="1:2" x14ac:dyDescent="0.25">
      <c r="A13401" s="4">
        <v>13396</v>
      </c>
      <c r="B13401" s="3" t="str">
        <f>"00709434"</f>
        <v>00709434</v>
      </c>
    </row>
    <row r="13402" spans="1:2" x14ac:dyDescent="0.25">
      <c r="A13402" s="4">
        <v>13397</v>
      </c>
      <c r="B13402" s="3" t="str">
        <f>"00709471"</f>
        <v>00709471</v>
      </c>
    </row>
    <row r="13403" spans="1:2" x14ac:dyDescent="0.25">
      <c r="A13403" s="4">
        <v>13398</v>
      </c>
      <c r="B13403" s="3" t="str">
        <f>"00709478"</f>
        <v>00709478</v>
      </c>
    </row>
    <row r="13404" spans="1:2" x14ac:dyDescent="0.25">
      <c r="A13404" s="4">
        <v>13399</v>
      </c>
      <c r="B13404" s="3" t="str">
        <f>"00709492"</f>
        <v>00709492</v>
      </c>
    </row>
    <row r="13405" spans="1:2" x14ac:dyDescent="0.25">
      <c r="A13405" s="4">
        <v>13400</v>
      </c>
      <c r="B13405" s="3" t="str">
        <f>"00709511"</f>
        <v>00709511</v>
      </c>
    </row>
    <row r="13406" spans="1:2" x14ac:dyDescent="0.25">
      <c r="A13406" s="4">
        <v>13401</v>
      </c>
      <c r="B13406" s="3" t="str">
        <f>"00709519"</f>
        <v>00709519</v>
      </c>
    </row>
    <row r="13407" spans="1:2" x14ac:dyDescent="0.25">
      <c r="A13407" s="4">
        <v>13402</v>
      </c>
      <c r="B13407" s="3" t="str">
        <f>"00709533"</f>
        <v>00709533</v>
      </c>
    </row>
    <row r="13408" spans="1:2" x14ac:dyDescent="0.25">
      <c r="A13408" s="4">
        <v>13403</v>
      </c>
      <c r="B13408" s="3" t="str">
        <f>"00709545"</f>
        <v>00709545</v>
      </c>
    </row>
    <row r="13409" spans="1:2" x14ac:dyDescent="0.25">
      <c r="A13409" s="4">
        <v>13404</v>
      </c>
      <c r="B13409" s="3" t="str">
        <f>"00709577"</f>
        <v>00709577</v>
      </c>
    </row>
    <row r="13410" spans="1:2" x14ac:dyDescent="0.25">
      <c r="A13410" s="4">
        <v>13405</v>
      </c>
      <c r="B13410" s="3" t="str">
        <f>"00709580"</f>
        <v>00709580</v>
      </c>
    </row>
    <row r="13411" spans="1:2" x14ac:dyDescent="0.25">
      <c r="A13411" s="4">
        <v>13406</v>
      </c>
      <c r="B13411" s="3" t="str">
        <f>"00709597"</f>
        <v>00709597</v>
      </c>
    </row>
    <row r="13412" spans="1:2" x14ac:dyDescent="0.25">
      <c r="A13412" s="4">
        <v>13407</v>
      </c>
      <c r="B13412" s="3" t="str">
        <f>"00709604"</f>
        <v>00709604</v>
      </c>
    </row>
    <row r="13413" spans="1:2" x14ac:dyDescent="0.25">
      <c r="A13413" s="4">
        <v>13408</v>
      </c>
      <c r="B13413" s="3" t="str">
        <f>"00709606"</f>
        <v>00709606</v>
      </c>
    </row>
    <row r="13414" spans="1:2" x14ac:dyDescent="0.25">
      <c r="A13414" s="4">
        <v>13409</v>
      </c>
      <c r="B13414" s="3" t="str">
        <f>"00709644"</f>
        <v>00709644</v>
      </c>
    </row>
    <row r="13415" spans="1:2" x14ac:dyDescent="0.25">
      <c r="A13415" s="4">
        <v>13410</v>
      </c>
      <c r="B13415" s="3" t="str">
        <f>"00709661"</f>
        <v>00709661</v>
      </c>
    </row>
    <row r="13416" spans="1:2" x14ac:dyDescent="0.25">
      <c r="A13416" s="4">
        <v>13411</v>
      </c>
      <c r="B13416" s="3" t="str">
        <f>"00709663"</f>
        <v>00709663</v>
      </c>
    </row>
    <row r="13417" spans="1:2" x14ac:dyDescent="0.25">
      <c r="A13417" s="4">
        <v>13412</v>
      </c>
      <c r="B13417" s="3" t="str">
        <f>"00709671"</f>
        <v>00709671</v>
      </c>
    </row>
    <row r="13418" spans="1:2" x14ac:dyDescent="0.25">
      <c r="A13418" s="4">
        <v>13413</v>
      </c>
      <c r="B13418" s="3" t="str">
        <f>"00709682"</f>
        <v>00709682</v>
      </c>
    </row>
    <row r="13419" spans="1:2" x14ac:dyDescent="0.25">
      <c r="A13419" s="4">
        <v>13414</v>
      </c>
      <c r="B13419" s="3" t="str">
        <f>"00709694"</f>
        <v>00709694</v>
      </c>
    </row>
    <row r="13420" spans="1:2" x14ac:dyDescent="0.25">
      <c r="A13420" s="4">
        <v>13415</v>
      </c>
      <c r="B13420" s="3" t="str">
        <f>"00709705"</f>
        <v>00709705</v>
      </c>
    </row>
    <row r="13421" spans="1:2" x14ac:dyDescent="0.25">
      <c r="A13421" s="4">
        <v>13416</v>
      </c>
      <c r="B13421" s="3" t="str">
        <f>"00709717"</f>
        <v>00709717</v>
      </c>
    </row>
    <row r="13422" spans="1:2" x14ac:dyDescent="0.25">
      <c r="A13422" s="4">
        <v>13417</v>
      </c>
      <c r="B13422" s="3" t="str">
        <f>"00709718"</f>
        <v>00709718</v>
      </c>
    </row>
    <row r="13423" spans="1:2" x14ac:dyDescent="0.25">
      <c r="A13423" s="4">
        <v>13418</v>
      </c>
      <c r="B13423" s="3" t="str">
        <f>"00709720"</f>
        <v>00709720</v>
      </c>
    </row>
    <row r="13424" spans="1:2" x14ac:dyDescent="0.25">
      <c r="A13424" s="4">
        <v>13419</v>
      </c>
      <c r="B13424" s="3" t="str">
        <f>"00709723"</f>
        <v>00709723</v>
      </c>
    </row>
    <row r="13425" spans="1:2" x14ac:dyDescent="0.25">
      <c r="A13425" s="4">
        <v>13420</v>
      </c>
      <c r="B13425" s="3" t="str">
        <f>"00709730"</f>
        <v>00709730</v>
      </c>
    </row>
    <row r="13426" spans="1:2" x14ac:dyDescent="0.25">
      <c r="A13426" s="4">
        <v>13421</v>
      </c>
      <c r="B13426" s="3" t="str">
        <f>"00709731"</f>
        <v>00709731</v>
      </c>
    </row>
    <row r="13427" spans="1:2" x14ac:dyDescent="0.25">
      <c r="A13427" s="4">
        <v>13422</v>
      </c>
      <c r="B13427" s="3" t="str">
        <f>"00709737"</f>
        <v>00709737</v>
      </c>
    </row>
    <row r="13428" spans="1:2" x14ac:dyDescent="0.25">
      <c r="A13428" s="4">
        <v>13423</v>
      </c>
      <c r="B13428" s="3" t="str">
        <f>"00709740"</f>
        <v>00709740</v>
      </c>
    </row>
    <row r="13429" spans="1:2" x14ac:dyDescent="0.25">
      <c r="A13429" s="4">
        <v>13424</v>
      </c>
      <c r="B13429" s="3" t="str">
        <f>"00709747"</f>
        <v>00709747</v>
      </c>
    </row>
    <row r="13430" spans="1:2" x14ac:dyDescent="0.25">
      <c r="A13430" s="4">
        <v>13425</v>
      </c>
      <c r="B13430" s="3" t="str">
        <f>"00709752"</f>
        <v>00709752</v>
      </c>
    </row>
    <row r="13431" spans="1:2" x14ac:dyDescent="0.25">
      <c r="A13431" s="4">
        <v>13426</v>
      </c>
      <c r="B13431" s="3" t="str">
        <f>"00709753"</f>
        <v>00709753</v>
      </c>
    </row>
    <row r="13432" spans="1:2" x14ac:dyDescent="0.25">
      <c r="A13432" s="4">
        <v>13427</v>
      </c>
      <c r="B13432" s="3" t="str">
        <f>"00709757"</f>
        <v>00709757</v>
      </c>
    </row>
    <row r="13433" spans="1:2" x14ac:dyDescent="0.25">
      <c r="A13433" s="4">
        <v>13428</v>
      </c>
      <c r="B13433" s="3" t="str">
        <f>"00709778"</f>
        <v>00709778</v>
      </c>
    </row>
    <row r="13434" spans="1:2" x14ac:dyDescent="0.25">
      <c r="A13434" s="4">
        <v>13429</v>
      </c>
      <c r="B13434" s="3" t="str">
        <f>"00709787"</f>
        <v>00709787</v>
      </c>
    </row>
    <row r="13435" spans="1:2" x14ac:dyDescent="0.25">
      <c r="A13435" s="4">
        <v>13430</v>
      </c>
      <c r="B13435" s="3" t="str">
        <f>"00709806"</f>
        <v>00709806</v>
      </c>
    </row>
    <row r="13436" spans="1:2" x14ac:dyDescent="0.25">
      <c r="A13436" s="4">
        <v>13431</v>
      </c>
      <c r="B13436" s="3" t="str">
        <f>"00709807"</f>
        <v>00709807</v>
      </c>
    </row>
    <row r="13437" spans="1:2" x14ac:dyDescent="0.25">
      <c r="A13437" s="4">
        <v>13432</v>
      </c>
      <c r="B13437" s="3" t="str">
        <f>"00709812"</f>
        <v>00709812</v>
      </c>
    </row>
    <row r="13438" spans="1:2" x14ac:dyDescent="0.25">
      <c r="A13438" s="4">
        <v>13433</v>
      </c>
      <c r="B13438" s="3" t="str">
        <f>"00709814"</f>
        <v>00709814</v>
      </c>
    </row>
    <row r="13439" spans="1:2" x14ac:dyDescent="0.25">
      <c r="A13439" s="4">
        <v>13434</v>
      </c>
      <c r="B13439" s="3" t="str">
        <f>"00709816"</f>
        <v>00709816</v>
      </c>
    </row>
    <row r="13440" spans="1:2" x14ac:dyDescent="0.25">
      <c r="A13440" s="4">
        <v>13435</v>
      </c>
      <c r="B13440" s="3" t="str">
        <f>"00709823"</f>
        <v>00709823</v>
      </c>
    </row>
    <row r="13441" spans="1:2" x14ac:dyDescent="0.25">
      <c r="A13441" s="4">
        <v>13436</v>
      </c>
      <c r="B13441" s="3" t="str">
        <f>"00709828"</f>
        <v>00709828</v>
      </c>
    </row>
    <row r="13442" spans="1:2" x14ac:dyDescent="0.25">
      <c r="A13442" s="4">
        <v>13437</v>
      </c>
      <c r="B13442" s="3" t="str">
        <f>"00709835"</f>
        <v>00709835</v>
      </c>
    </row>
    <row r="13443" spans="1:2" x14ac:dyDescent="0.25">
      <c r="A13443" s="4">
        <v>13438</v>
      </c>
      <c r="B13443" s="3" t="str">
        <f>"00709840"</f>
        <v>00709840</v>
      </c>
    </row>
    <row r="13444" spans="1:2" x14ac:dyDescent="0.25">
      <c r="A13444" s="4">
        <v>13439</v>
      </c>
      <c r="B13444" s="3" t="str">
        <f>"00709849"</f>
        <v>00709849</v>
      </c>
    </row>
    <row r="13445" spans="1:2" x14ac:dyDescent="0.25">
      <c r="A13445" s="4">
        <v>13440</v>
      </c>
      <c r="B13445" s="3" t="str">
        <f>"00709852"</f>
        <v>00709852</v>
      </c>
    </row>
    <row r="13446" spans="1:2" x14ac:dyDescent="0.25">
      <c r="A13446" s="4">
        <v>13441</v>
      </c>
      <c r="B13446" s="3" t="str">
        <f>"00709859"</f>
        <v>00709859</v>
      </c>
    </row>
    <row r="13447" spans="1:2" x14ac:dyDescent="0.25">
      <c r="A13447" s="4">
        <v>13442</v>
      </c>
      <c r="B13447" s="3" t="str">
        <f>"00709862"</f>
        <v>00709862</v>
      </c>
    </row>
    <row r="13448" spans="1:2" x14ac:dyDescent="0.25">
      <c r="A13448" s="4">
        <v>13443</v>
      </c>
      <c r="B13448" s="3" t="str">
        <f>"00709881"</f>
        <v>00709881</v>
      </c>
    </row>
    <row r="13449" spans="1:2" x14ac:dyDescent="0.25">
      <c r="A13449" s="4">
        <v>13444</v>
      </c>
      <c r="B13449" s="3" t="str">
        <f>"00709891"</f>
        <v>00709891</v>
      </c>
    </row>
    <row r="13450" spans="1:2" x14ac:dyDescent="0.25">
      <c r="A13450" s="4">
        <v>13445</v>
      </c>
      <c r="B13450" s="3" t="str">
        <f>"00709892"</f>
        <v>00709892</v>
      </c>
    </row>
    <row r="13451" spans="1:2" x14ac:dyDescent="0.25">
      <c r="A13451" s="4">
        <v>13446</v>
      </c>
      <c r="B13451" s="3" t="str">
        <f>"00709903"</f>
        <v>00709903</v>
      </c>
    </row>
    <row r="13452" spans="1:2" x14ac:dyDescent="0.25">
      <c r="A13452" s="4">
        <v>13447</v>
      </c>
      <c r="B13452" s="3" t="str">
        <f>"00709907"</f>
        <v>00709907</v>
      </c>
    </row>
    <row r="13453" spans="1:2" x14ac:dyDescent="0.25">
      <c r="A13453" s="4">
        <v>13448</v>
      </c>
      <c r="B13453" s="3" t="str">
        <f>"00709922"</f>
        <v>00709922</v>
      </c>
    </row>
    <row r="13454" spans="1:2" x14ac:dyDescent="0.25">
      <c r="A13454" s="4">
        <v>13449</v>
      </c>
      <c r="B13454" s="3" t="str">
        <f>"00709931"</f>
        <v>00709931</v>
      </c>
    </row>
    <row r="13455" spans="1:2" x14ac:dyDescent="0.25">
      <c r="A13455" s="4">
        <v>13450</v>
      </c>
      <c r="B13455" s="3" t="str">
        <f>"00709961"</f>
        <v>00709961</v>
      </c>
    </row>
    <row r="13456" spans="1:2" x14ac:dyDescent="0.25">
      <c r="A13456" s="4">
        <v>13451</v>
      </c>
      <c r="B13456" s="3" t="str">
        <f>"00709970"</f>
        <v>00709970</v>
      </c>
    </row>
    <row r="13457" spans="1:2" x14ac:dyDescent="0.25">
      <c r="A13457" s="4">
        <v>13452</v>
      </c>
      <c r="B13457" s="3" t="str">
        <f>"00709975"</f>
        <v>00709975</v>
      </c>
    </row>
    <row r="13458" spans="1:2" x14ac:dyDescent="0.25">
      <c r="A13458" s="4">
        <v>13453</v>
      </c>
      <c r="B13458" s="3" t="str">
        <f>"00710000"</f>
        <v>00710000</v>
      </c>
    </row>
    <row r="13459" spans="1:2" x14ac:dyDescent="0.25">
      <c r="A13459" s="4">
        <v>13454</v>
      </c>
      <c r="B13459" s="3" t="str">
        <f>"00710002"</f>
        <v>00710002</v>
      </c>
    </row>
    <row r="13460" spans="1:2" x14ac:dyDescent="0.25">
      <c r="A13460" s="4">
        <v>13455</v>
      </c>
      <c r="B13460" s="3" t="str">
        <f>"00710007"</f>
        <v>00710007</v>
      </c>
    </row>
    <row r="13461" spans="1:2" x14ac:dyDescent="0.25">
      <c r="A13461" s="4">
        <v>13456</v>
      </c>
      <c r="B13461" s="3" t="str">
        <f>"00710012"</f>
        <v>00710012</v>
      </c>
    </row>
    <row r="13462" spans="1:2" x14ac:dyDescent="0.25">
      <c r="A13462" s="4">
        <v>13457</v>
      </c>
      <c r="B13462" s="3" t="str">
        <f>"00710021"</f>
        <v>00710021</v>
      </c>
    </row>
    <row r="13463" spans="1:2" x14ac:dyDescent="0.25">
      <c r="A13463" s="4">
        <v>13458</v>
      </c>
      <c r="B13463" s="3" t="str">
        <f>"00710025"</f>
        <v>00710025</v>
      </c>
    </row>
    <row r="13464" spans="1:2" x14ac:dyDescent="0.25">
      <c r="A13464" s="4">
        <v>13459</v>
      </c>
      <c r="B13464" s="3" t="str">
        <f>"00710027"</f>
        <v>00710027</v>
      </c>
    </row>
    <row r="13465" spans="1:2" x14ac:dyDescent="0.25">
      <c r="A13465" s="4">
        <v>13460</v>
      </c>
      <c r="B13465" s="3" t="str">
        <f>"00710037"</f>
        <v>00710037</v>
      </c>
    </row>
    <row r="13466" spans="1:2" x14ac:dyDescent="0.25">
      <c r="A13466" s="4">
        <v>13461</v>
      </c>
      <c r="B13466" s="3" t="str">
        <f>"00710052"</f>
        <v>00710052</v>
      </c>
    </row>
    <row r="13467" spans="1:2" x14ac:dyDescent="0.25">
      <c r="A13467" s="4">
        <v>13462</v>
      </c>
      <c r="B13467" s="3" t="str">
        <f>"00710054"</f>
        <v>00710054</v>
      </c>
    </row>
    <row r="13468" spans="1:2" x14ac:dyDescent="0.25">
      <c r="A13468" s="4">
        <v>13463</v>
      </c>
      <c r="B13468" s="3" t="str">
        <f>"00710064"</f>
        <v>00710064</v>
      </c>
    </row>
    <row r="13469" spans="1:2" x14ac:dyDescent="0.25">
      <c r="A13469" s="4">
        <v>13464</v>
      </c>
      <c r="B13469" s="3" t="str">
        <f>"00710069"</f>
        <v>00710069</v>
      </c>
    </row>
    <row r="13470" spans="1:2" x14ac:dyDescent="0.25">
      <c r="A13470" s="4">
        <v>13465</v>
      </c>
      <c r="B13470" s="3" t="str">
        <f>"00710084"</f>
        <v>00710084</v>
      </c>
    </row>
    <row r="13471" spans="1:2" x14ac:dyDescent="0.25">
      <c r="A13471" s="4">
        <v>13466</v>
      </c>
      <c r="B13471" s="3" t="str">
        <f>"00710094"</f>
        <v>00710094</v>
      </c>
    </row>
    <row r="13472" spans="1:2" x14ac:dyDescent="0.25">
      <c r="A13472" s="4">
        <v>13467</v>
      </c>
      <c r="B13472" s="3" t="str">
        <f>"00710100"</f>
        <v>00710100</v>
      </c>
    </row>
    <row r="13473" spans="1:2" x14ac:dyDescent="0.25">
      <c r="A13473" s="4">
        <v>13468</v>
      </c>
      <c r="B13473" s="3" t="str">
        <f>"00710102"</f>
        <v>00710102</v>
      </c>
    </row>
    <row r="13474" spans="1:2" x14ac:dyDescent="0.25">
      <c r="A13474" s="4">
        <v>13469</v>
      </c>
      <c r="B13474" s="3" t="str">
        <f>"00710111"</f>
        <v>00710111</v>
      </c>
    </row>
    <row r="13475" spans="1:2" x14ac:dyDescent="0.25">
      <c r="A13475" s="4">
        <v>13470</v>
      </c>
      <c r="B13475" s="3" t="str">
        <f>"00710117"</f>
        <v>00710117</v>
      </c>
    </row>
    <row r="13476" spans="1:2" x14ac:dyDescent="0.25">
      <c r="A13476" s="4">
        <v>13471</v>
      </c>
      <c r="B13476" s="3" t="str">
        <f>"00710138"</f>
        <v>00710138</v>
      </c>
    </row>
    <row r="13477" spans="1:2" x14ac:dyDescent="0.25">
      <c r="A13477" s="4">
        <v>13472</v>
      </c>
      <c r="B13477" s="3" t="str">
        <f>"00710140"</f>
        <v>00710140</v>
      </c>
    </row>
    <row r="13478" spans="1:2" x14ac:dyDescent="0.25">
      <c r="A13478" s="4">
        <v>13473</v>
      </c>
      <c r="B13478" s="3" t="str">
        <f>"00710144"</f>
        <v>00710144</v>
      </c>
    </row>
    <row r="13479" spans="1:2" x14ac:dyDescent="0.25">
      <c r="A13479" s="4">
        <v>13474</v>
      </c>
      <c r="B13479" s="3" t="str">
        <f>"00710151"</f>
        <v>00710151</v>
      </c>
    </row>
    <row r="13480" spans="1:2" x14ac:dyDescent="0.25">
      <c r="A13480" s="4">
        <v>13475</v>
      </c>
      <c r="B13480" s="3" t="str">
        <f>"00710152"</f>
        <v>00710152</v>
      </c>
    </row>
    <row r="13481" spans="1:2" x14ac:dyDescent="0.25">
      <c r="A13481" s="4">
        <v>13476</v>
      </c>
      <c r="B13481" s="3" t="str">
        <f>"00710154"</f>
        <v>00710154</v>
      </c>
    </row>
    <row r="13482" spans="1:2" x14ac:dyDescent="0.25">
      <c r="A13482" s="4">
        <v>13477</v>
      </c>
      <c r="B13482" s="3" t="str">
        <f>"00710156"</f>
        <v>00710156</v>
      </c>
    </row>
    <row r="13483" spans="1:2" x14ac:dyDescent="0.25">
      <c r="A13483" s="4">
        <v>13478</v>
      </c>
      <c r="B13483" s="3" t="str">
        <f>"00710160"</f>
        <v>00710160</v>
      </c>
    </row>
    <row r="13484" spans="1:2" x14ac:dyDescent="0.25">
      <c r="A13484" s="4">
        <v>13479</v>
      </c>
      <c r="B13484" s="3" t="str">
        <f>"00710174"</f>
        <v>00710174</v>
      </c>
    </row>
    <row r="13485" spans="1:2" x14ac:dyDescent="0.25">
      <c r="A13485" s="4">
        <v>13480</v>
      </c>
      <c r="B13485" s="3" t="str">
        <f>"00710229"</f>
        <v>00710229</v>
      </c>
    </row>
    <row r="13486" spans="1:2" x14ac:dyDescent="0.25">
      <c r="A13486" s="4">
        <v>13481</v>
      </c>
      <c r="B13486" s="3" t="str">
        <f>"00710230"</f>
        <v>00710230</v>
      </c>
    </row>
    <row r="13487" spans="1:2" x14ac:dyDescent="0.25">
      <c r="A13487" s="4">
        <v>13482</v>
      </c>
      <c r="B13487" s="3" t="str">
        <f>"00710237"</f>
        <v>00710237</v>
      </c>
    </row>
    <row r="13488" spans="1:2" x14ac:dyDescent="0.25">
      <c r="A13488" s="4">
        <v>13483</v>
      </c>
      <c r="B13488" s="3" t="str">
        <f>"00710257"</f>
        <v>00710257</v>
      </c>
    </row>
    <row r="13489" spans="1:2" x14ac:dyDescent="0.25">
      <c r="A13489" s="4">
        <v>13484</v>
      </c>
      <c r="B13489" s="3" t="str">
        <f>"00710263"</f>
        <v>00710263</v>
      </c>
    </row>
    <row r="13490" spans="1:2" x14ac:dyDescent="0.25">
      <c r="A13490" s="4">
        <v>13485</v>
      </c>
      <c r="B13490" s="3" t="str">
        <f>"00710274"</f>
        <v>00710274</v>
      </c>
    </row>
    <row r="13491" spans="1:2" x14ac:dyDescent="0.25">
      <c r="A13491" s="4">
        <v>13486</v>
      </c>
      <c r="B13491" s="3" t="str">
        <f>"00710297"</f>
        <v>00710297</v>
      </c>
    </row>
    <row r="13492" spans="1:2" x14ac:dyDescent="0.25">
      <c r="A13492" s="4">
        <v>13487</v>
      </c>
      <c r="B13492" s="3" t="str">
        <f>"00710300"</f>
        <v>00710300</v>
      </c>
    </row>
    <row r="13493" spans="1:2" x14ac:dyDescent="0.25">
      <c r="A13493" s="4">
        <v>13488</v>
      </c>
      <c r="B13493" s="3" t="str">
        <f>"00710315"</f>
        <v>00710315</v>
      </c>
    </row>
    <row r="13494" spans="1:2" x14ac:dyDescent="0.25">
      <c r="A13494" s="4">
        <v>13489</v>
      </c>
      <c r="B13494" s="3" t="str">
        <f>"00710337"</f>
        <v>00710337</v>
      </c>
    </row>
    <row r="13495" spans="1:2" x14ac:dyDescent="0.25">
      <c r="A13495" s="4">
        <v>13490</v>
      </c>
      <c r="B13495" s="3" t="str">
        <f>"00710357"</f>
        <v>00710357</v>
      </c>
    </row>
    <row r="13496" spans="1:2" x14ac:dyDescent="0.25">
      <c r="A13496" s="4">
        <v>13491</v>
      </c>
      <c r="B13496" s="3" t="str">
        <f>"00710365"</f>
        <v>00710365</v>
      </c>
    </row>
    <row r="13497" spans="1:2" x14ac:dyDescent="0.25">
      <c r="A13497" s="4">
        <v>13492</v>
      </c>
      <c r="B13497" s="3" t="str">
        <f>"00710372"</f>
        <v>00710372</v>
      </c>
    </row>
    <row r="13498" spans="1:2" x14ac:dyDescent="0.25">
      <c r="A13498" s="4">
        <v>13493</v>
      </c>
      <c r="B13498" s="3" t="str">
        <f>"00710374"</f>
        <v>00710374</v>
      </c>
    </row>
    <row r="13499" spans="1:2" x14ac:dyDescent="0.25">
      <c r="A13499" s="4">
        <v>13494</v>
      </c>
      <c r="B13499" s="3" t="str">
        <f>"00710386"</f>
        <v>00710386</v>
      </c>
    </row>
    <row r="13500" spans="1:2" x14ac:dyDescent="0.25">
      <c r="A13500" s="4">
        <v>13495</v>
      </c>
      <c r="B13500" s="3" t="str">
        <f>"00710389"</f>
        <v>00710389</v>
      </c>
    </row>
    <row r="13501" spans="1:2" x14ac:dyDescent="0.25">
      <c r="A13501" s="4">
        <v>13496</v>
      </c>
      <c r="B13501" s="3" t="str">
        <f>"00710392"</f>
        <v>00710392</v>
      </c>
    </row>
    <row r="13502" spans="1:2" x14ac:dyDescent="0.25">
      <c r="A13502" s="4">
        <v>13497</v>
      </c>
      <c r="B13502" s="3" t="str">
        <f>"00710396"</f>
        <v>00710396</v>
      </c>
    </row>
    <row r="13503" spans="1:2" x14ac:dyDescent="0.25">
      <c r="A13503" s="4">
        <v>13498</v>
      </c>
      <c r="B13503" s="3" t="str">
        <f>"00710401"</f>
        <v>00710401</v>
      </c>
    </row>
    <row r="13504" spans="1:2" x14ac:dyDescent="0.25">
      <c r="A13504" s="4">
        <v>13499</v>
      </c>
      <c r="B13504" s="3" t="str">
        <f>"00710405"</f>
        <v>00710405</v>
      </c>
    </row>
    <row r="13505" spans="1:2" x14ac:dyDescent="0.25">
      <c r="A13505" s="4">
        <v>13500</v>
      </c>
      <c r="B13505" s="3" t="str">
        <f>"00710453"</f>
        <v>00710453</v>
      </c>
    </row>
    <row r="13506" spans="1:2" x14ac:dyDescent="0.25">
      <c r="A13506" s="4">
        <v>13501</v>
      </c>
      <c r="B13506" s="3" t="str">
        <f>"00710464"</f>
        <v>00710464</v>
      </c>
    </row>
    <row r="13507" spans="1:2" x14ac:dyDescent="0.25">
      <c r="A13507" s="4">
        <v>13502</v>
      </c>
      <c r="B13507" s="3" t="str">
        <f>"00710492"</f>
        <v>00710492</v>
      </c>
    </row>
    <row r="13508" spans="1:2" x14ac:dyDescent="0.25">
      <c r="A13508" s="4">
        <v>13503</v>
      </c>
      <c r="B13508" s="3" t="str">
        <f>"00710515"</f>
        <v>00710515</v>
      </c>
    </row>
    <row r="13509" spans="1:2" x14ac:dyDescent="0.25">
      <c r="A13509" s="4">
        <v>13504</v>
      </c>
      <c r="B13509" s="3" t="str">
        <f>"00710516"</f>
        <v>00710516</v>
      </c>
    </row>
    <row r="13510" spans="1:2" x14ac:dyDescent="0.25">
      <c r="A13510" s="4">
        <v>13505</v>
      </c>
      <c r="B13510" s="3" t="str">
        <f>"00710539"</f>
        <v>00710539</v>
      </c>
    </row>
    <row r="13511" spans="1:2" x14ac:dyDescent="0.25">
      <c r="A13511" s="4">
        <v>13506</v>
      </c>
      <c r="B13511" s="3" t="str">
        <f>"00710551"</f>
        <v>00710551</v>
      </c>
    </row>
    <row r="13512" spans="1:2" x14ac:dyDescent="0.25">
      <c r="A13512" s="4">
        <v>13507</v>
      </c>
      <c r="B13512" s="3" t="str">
        <f>"00710558"</f>
        <v>00710558</v>
      </c>
    </row>
    <row r="13513" spans="1:2" x14ac:dyDescent="0.25">
      <c r="A13513" s="4">
        <v>13508</v>
      </c>
      <c r="B13513" s="3" t="str">
        <f>"00710560"</f>
        <v>00710560</v>
      </c>
    </row>
    <row r="13514" spans="1:2" x14ac:dyDescent="0.25">
      <c r="A13514" s="4">
        <v>13509</v>
      </c>
      <c r="B13514" s="3" t="str">
        <f>"00710561"</f>
        <v>00710561</v>
      </c>
    </row>
    <row r="13515" spans="1:2" x14ac:dyDescent="0.25">
      <c r="A13515" s="4">
        <v>13510</v>
      </c>
      <c r="B13515" s="3" t="str">
        <f>"00710582"</f>
        <v>00710582</v>
      </c>
    </row>
    <row r="13516" spans="1:2" x14ac:dyDescent="0.25">
      <c r="A13516" s="4">
        <v>13511</v>
      </c>
      <c r="B13516" s="3" t="str">
        <f>"00710598"</f>
        <v>00710598</v>
      </c>
    </row>
    <row r="13517" spans="1:2" x14ac:dyDescent="0.25">
      <c r="A13517" s="4">
        <v>13512</v>
      </c>
      <c r="B13517" s="3" t="str">
        <f>"00710627"</f>
        <v>00710627</v>
      </c>
    </row>
    <row r="13518" spans="1:2" x14ac:dyDescent="0.25">
      <c r="A13518" s="4">
        <v>13513</v>
      </c>
      <c r="B13518" s="3" t="str">
        <f>"00710630"</f>
        <v>00710630</v>
      </c>
    </row>
    <row r="13519" spans="1:2" x14ac:dyDescent="0.25">
      <c r="A13519" s="4">
        <v>13514</v>
      </c>
      <c r="B13519" s="3" t="str">
        <f>"00710631"</f>
        <v>00710631</v>
      </c>
    </row>
    <row r="13520" spans="1:2" x14ac:dyDescent="0.25">
      <c r="A13520" s="4">
        <v>13515</v>
      </c>
      <c r="B13520" s="3" t="str">
        <f>"00710634"</f>
        <v>00710634</v>
      </c>
    </row>
    <row r="13521" spans="1:2" x14ac:dyDescent="0.25">
      <c r="A13521" s="4">
        <v>13516</v>
      </c>
      <c r="B13521" s="3" t="str">
        <f>"00710665"</f>
        <v>00710665</v>
      </c>
    </row>
    <row r="13522" spans="1:2" x14ac:dyDescent="0.25">
      <c r="A13522" s="4">
        <v>13517</v>
      </c>
      <c r="B13522" s="3" t="str">
        <f>"00710668"</f>
        <v>00710668</v>
      </c>
    </row>
    <row r="13523" spans="1:2" x14ac:dyDescent="0.25">
      <c r="A13523" s="4">
        <v>13518</v>
      </c>
      <c r="B13523" s="3" t="str">
        <f>"00710678"</f>
        <v>00710678</v>
      </c>
    </row>
    <row r="13524" spans="1:2" x14ac:dyDescent="0.25">
      <c r="A13524" s="4">
        <v>13519</v>
      </c>
      <c r="B13524" s="3" t="str">
        <f>"00710680"</f>
        <v>00710680</v>
      </c>
    </row>
    <row r="13525" spans="1:2" x14ac:dyDescent="0.25">
      <c r="A13525" s="4">
        <v>13520</v>
      </c>
      <c r="B13525" s="3" t="str">
        <f>"00710708"</f>
        <v>00710708</v>
      </c>
    </row>
    <row r="13526" spans="1:2" x14ac:dyDescent="0.25">
      <c r="A13526" s="4">
        <v>13521</v>
      </c>
      <c r="B13526" s="3" t="str">
        <f>"00710733"</f>
        <v>00710733</v>
      </c>
    </row>
    <row r="13527" spans="1:2" x14ac:dyDescent="0.25">
      <c r="A13527" s="4">
        <v>13522</v>
      </c>
      <c r="B13527" s="3" t="str">
        <f>"00710738"</f>
        <v>00710738</v>
      </c>
    </row>
    <row r="13528" spans="1:2" x14ac:dyDescent="0.25">
      <c r="A13528" s="4">
        <v>13523</v>
      </c>
      <c r="B13528" s="3" t="str">
        <f>"00710739"</f>
        <v>00710739</v>
      </c>
    </row>
    <row r="13529" spans="1:2" x14ac:dyDescent="0.25">
      <c r="A13529" s="4">
        <v>13524</v>
      </c>
      <c r="B13529" s="3" t="str">
        <f>"00710755"</f>
        <v>00710755</v>
      </c>
    </row>
    <row r="13530" spans="1:2" x14ac:dyDescent="0.25">
      <c r="A13530" s="4">
        <v>13525</v>
      </c>
      <c r="B13530" s="3" t="str">
        <f>"00710759"</f>
        <v>00710759</v>
      </c>
    </row>
    <row r="13531" spans="1:2" x14ac:dyDescent="0.25">
      <c r="A13531" s="4">
        <v>13526</v>
      </c>
      <c r="B13531" s="3" t="str">
        <f>"00710773"</f>
        <v>00710773</v>
      </c>
    </row>
    <row r="13532" spans="1:2" x14ac:dyDescent="0.25">
      <c r="A13532" s="4">
        <v>13527</v>
      </c>
      <c r="B13532" s="3" t="str">
        <f>"00710783"</f>
        <v>00710783</v>
      </c>
    </row>
    <row r="13533" spans="1:2" x14ac:dyDescent="0.25">
      <c r="A13533" s="4">
        <v>13528</v>
      </c>
      <c r="B13533" s="3" t="str">
        <f>"00710788"</f>
        <v>00710788</v>
      </c>
    </row>
    <row r="13534" spans="1:2" x14ac:dyDescent="0.25">
      <c r="A13534" s="4">
        <v>13529</v>
      </c>
      <c r="B13534" s="3" t="str">
        <f>"00710793"</f>
        <v>00710793</v>
      </c>
    </row>
    <row r="13535" spans="1:2" x14ac:dyDescent="0.25">
      <c r="A13535" s="4">
        <v>13530</v>
      </c>
      <c r="B13535" s="3" t="str">
        <f>"00710802"</f>
        <v>00710802</v>
      </c>
    </row>
    <row r="13536" spans="1:2" x14ac:dyDescent="0.25">
      <c r="A13536" s="4">
        <v>13531</v>
      </c>
      <c r="B13536" s="3" t="str">
        <f>"00710811"</f>
        <v>00710811</v>
      </c>
    </row>
    <row r="13537" spans="1:2" x14ac:dyDescent="0.25">
      <c r="A13537" s="4">
        <v>13532</v>
      </c>
      <c r="B13537" s="3" t="str">
        <f>"00710815"</f>
        <v>00710815</v>
      </c>
    </row>
    <row r="13538" spans="1:2" x14ac:dyDescent="0.25">
      <c r="A13538" s="4">
        <v>13533</v>
      </c>
      <c r="B13538" s="3" t="str">
        <f>"00710826"</f>
        <v>00710826</v>
      </c>
    </row>
    <row r="13539" spans="1:2" x14ac:dyDescent="0.25">
      <c r="A13539" s="4">
        <v>13534</v>
      </c>
      <c r="B13539" s="3" t="str">
        <f>"00710827"</f>
        <v>00710827</v>
      </c>
    </row>
    <row r="13540" spans="1:2" x14ac:dyDescent="0.25">
      <c r="A13540" s="4">
        <v>13535</v>
      </c>
      <c r="B13540" s="3" t="str">
        <f>"00710830"</f>
        <v>00710830</v>
      </c>
    </row>
    <row r="13541" spans="1:2" x14ac:dyDescent="0.25">
      <c r="A13541" s="4">
        <v>13536</v>
      </c>
      <c r="B13541" s="3" t="str">
        <f>"00710840"</f>
        <v>00710840</v>
      </c>
    </row>
    <row r="13542" spans="1:2" x14ac:dyDescent="0.25">
      <c r="A13542" s="4">
        <v>13537</v>
      </c>
      <c r="B13542" s="3" t="str">
        <f>"00710849"</f>
        <v>00710849</v>
      </c>
    </row>
    <row r="13543" spans="1:2" x14ac:dyDescent="0.25">
      <c r="A13543" s="4">
        <v>13538</v>
      </c>
      <c r="B13543" s="3" t="str">
        <f>"00710853"</f>
        <v>00710853</v>
      </c>
    </row>
    <row r="13544" spans="1:2" x14ac:dyDescent="0.25">
      <c r="A13544" s="4">
        <v>13539</v>
      </c>
      <c r="B13544" s="3" t="str">
        <f>"00710863"</f>
        <v>00710863</v>
      </c>
    </row>
    <row r="13545" spans="1:2" x14ac:dyDescent="0.25">
      <c r="A13545" s="4">
        <v>13540</v>
      </c>
      <c r="B13545" s="3" t="str">
        <f>"00710875"</f>
        <v>00710875</v>
      </c>
    </row>
    <row r="13546" spans="1:2" x14ac:dyDescent="0.25">
      <c r="A13546" s="4">
        <v>13541</v>
      </c>
      <c r="B13546" s="3" t="str">
        <f>"00710889"</f>
        <v>00710889</v>
      </c>
    </row>
    <row r="13547" spans="1:2" x14ac:dyDescent="0.25">
      <c r="A13547" s="4">
        <v>13542</v>
      </c>
      <c r="B13547" s="3" t="str">
        <f>"00710894"</f>
        <v>00710894</v>
      </c>
    </row>
    <row r="13548" spans="1:2" x14ac:dyDescent="0.25">
      <c r="A13548" s="4">
        <v>13543</v>
      </c>
      <c r="B13548" s="3" t="str">
        <f>"00710902"</f>
        <v>00710902</v>
      </c>
    </row>
    <row r="13549" spans="1:2" x14ac:dyDescent="0.25">
      <c r="A13549" s="4">
        <v>13544</v>
      </c>
      <c r="B13549" s="3" t="str">
        <f>"00710916"</f>
        <v>00710916</v>
      </c>
    </row>
    <row r="13550" spans="1:2" x14ac:dyDescent="0.25">
      <c r="A13550" s="4">
        <v>13545</v>
      </c>
      <c r="B13550" s="3" t="str">
        <f>"00710923"</f>
        <v>00710923</v>
      </c>
    </row>
    <row r="13551" spans="1:2" x14ac:dyDescent="0.25">
      <c r="A13551" s="4">
        <v>13546</v>
      </c>
      <c r="B13551" s="3" t="str">
        <f>"00710945"</f>
        <v>00710945</v>
      </c>
    </row>
    <row r="13552" spans="1:2" x14ac:dyDescent="0.25">
      <c r="A13552" s="4">
        <v>13547</v>
      </c>
      <c r="B13552" s="3" t="str">
        <f>"00711254"</f>
        <v>00711254</v>
      </c>
    </row>
    <row r="13553" spans="1:2" x14ac:dyDescent="0.25">
      <c r="A13553" s="4">
        <v>13548</v>
      </c>
      <c r="B13553" s="3" t="str">
        <f>"00711268"</f>
        <v>00711268</v>
      </c>
    </row>
    <row r="13554" spans="1:2" x14ac:dyDescent="0.25">
      <c r="A13554" s="4">
        <v>13549</v>
      </c>
      <c r="B13554" s="3" t="str">
        <f>"00711272"</f>
        <v>00711272</v>
      </c>
    </row>
    <row r="13555" spans="1:2" x14ac:dyDescent="0.25">
      <c r="A13555" s="4">
        <v>13550</v>
      </c>
      <c r="B13555" s="3" t="str">
        <f>"00711274"</f>
        <v>00711274</v>
      </c>
    </row>
    <row r="13556" spans="1:2" x14ac:dyDescent="0.25">
      <c r="A13556" s="4">
        <v>13551</v>
      </c>
      <c r="B13556" s="3" t="str">
        <f>"00711275"</f>
        <v>00711275</v>
      </c>
    </row>
    <row r="13557" spans="1:2" x14ac:dyDescent="0.25">
      <c r="A13557" s="4">
        <v>13552</v>
      </c>
      <c r="B13557" s="3" t="str">
        <f>"00711300"</f>
        <v>00711300</v>
      </c>
    </row>
    <row r="13558" spans="1:2" x14ac:dyDescent="0.25">
      <c r="A13558" s="4">
        <v>13553</v>
      </c>
      <c r="B13558" s="3" t="str">
        <f>"00711318"</f>
        <v>00711318</v>
      </c>
    </row>
    <row r="13559" spans="1:2" x14ac:dyDescent="0.25">
      <c r="A13559" s="4">
        <v>13554</v>
      </c>
      <c r="B13559" s="3" t="str">
        <f>"00711331"</f>
        <v>00711331</v>
      </c>
    </row>
    <row r="13560" spans="1:2" x14ac:dyDescent="0.25">
      <c r="A13560" s="4">
        <v>13555</v>
      </c>
      <c r="B13560" s="3" t="str">
        <f>"00711341"</f>
        <v>00711341</v>
      </c>
    </row>
    <row r="13561" spans="1:2" x14ac:dyDescent="0.25">
      <c r="A13561" s="4">
        <v>13556</v>
      </c>
      <c r="B13561" s="3" t="str">
        <f>"00711358"</f>
        <v>00711358</v>
      </c>
    </row>
    <row r="13562" spans="1:2" x14ac:dyDescent="0.25">
      <c r="A13562" s="4">
        <v>13557</v>
      </c>
      <c r="B13562" s="3" t="str">
        <f>"00711368"</f>
        <v>00711368</v>
      </c>
    </row>
    <row r="13563" spans="1:2" x14ac:dyDescent="0.25">
      <c r="A13563" s="4">
        <v>13558</v>
      </c>
      <c r="B13563" s="3" t="str">
        <f>"00711377"</f>
        <v>00711377</v>
      </c>
    </row>
    <row r="13564" spans="1:2" x14ac:dyDescent="0.25">
      <c r="A13564" s="4">
        <v>13559</v>
      </c>
      <c r="B13564" s="3" t="str">
        <f>"00711388"</f>
        <v>00711388</v>
      </c>
    </row>
    <row r="13565" spans="1:2" x14ac:dyDescent="0.25">
      <c r="A13565" s="4">
        <v>13560</v>
      </c>
      <c r="B13565" s="3" t="str">
        <f>"00711395"</f>
        <v>00711395</v>
      </c>
    </row>
    <row r="13566" spans="1:2" x14ac:dyDescent="0.25">
      <c r="A13566" s="4">
        <v>13561</v>
      </c>
      <c r="B13566" s="3" t="str">
        <f>"00711428"</f>
        <v>00711428</v>
      </c>
    </row>
    <row r="13567" spans="1:2" x14ac:dyDescent="0.25">
      <c r="A13567" s="4">
        <v>13562</v>
      </c>
      <c r="B13567" s="3" t="str">
        <f>"00711442"</f>
        <v>00711442</v>
      </c>
    </row>
    <row r="13568" spans="1:2" x14ac:dyDescent="0.25">
      <c r="A13568" s="4">
        <v>13563</v>
      </c>
      <c r="B13568" s="3" t="str">
        <f>"00711448"</f>
        <v>00711448</v>
      </c>
    </row>
    <row r="13569" spans="1:2" x14ac:dyDescent="0.25">
      <c r="A13569" s="4">
        <v>13564</v>
      </c>
      <c r="B13569" s="3" t="str">
        <f>"00711452"</f>
        <v>00711452</v>
      </c>
    </row>
    <row r="13570" spans="1:2" x14ac:dyDescent="0.25">
      <c r="A13570" s="4">
        <v>13565</v>
      </c>
      <c r="B13570" s="3" t="str">
        <f>"00711475"</f>
        <v>00711475</v>
      </c>
    </row>
    <row r="13571" spans="1:2" x14ac:dyDescent="0.25">
      <c r="A13571" s="4">
        <v>13566</v>
      </c>
      <c r="B13571" s="3" t="str">
        <f>"00711482"</f>
        <v>00711482</v>
      </c>
    </row>
    <row r="13572" spans="1:2" x14ac:dyDescent="0.25">
      <c r="A13572" s="4">
        <v>13567</v>
      </c>
      <c r="B13572" s="3" t="str">
        <f>"00711483"</f>
        <v>00711483</v>
      </c>
    </row>
    <row r="13573" spans="1:2" x14ac:dyDescent="0.25">
      <c r="A13573" s="4">
        <v>13568</v>
      </c>
      <c r="B13573" s="3" t="str">
        <f>"00711487"</f>
        <v>00711487</v>
      </c>
    </row>
    <row r="13574" spans="1:2" x14ac:dyDescent="0.25">
      <c r="A13574" s="4">
        <v>13569</v>
      </c>
      <c r="B13574" s="3" t="str">
        <f>"00711489"</f>
        <v>00711489</v>
      </c>
    </row>
    <row r="13575" spans="1:2" x14ac:dyDescent="0.25">
      <c r="A13575" s="4">
        <v>13570</v>
      </c>
      <c r="B13575" s="3" t="str">
        <f>"00711491"</f>
        <v>00711491</v>
      </c>
    </row>
    <row r="13576" spans="1:2" x14ac:dyDescent="0.25">
      <c r="A13576" s="4">
        <v>13571</v>
      </c>
      <c r="B13576" s="3" t="str">
        <f>"00711511"</f>
        <v>00711511</v>
      </c>
    </row>
    <row r="13577" spans="1:2" x14ac:dyDescent="0.25">
      <c r="A13577" s="4">
        <v>13572</v>
      </c>
      <c r="B13577" s="3" t="str">
        <f>"00711517"</f>
        <v>00711517</v>
      </c>
    </row>
    <row r="13578" spans="1:2" x14ac:dyDescent="0.25">
      <c r="A13578" s="4">
        <v>13573</v>
      </c>
      <c r="B13578" s="3" t="str">
        <f>"00711534"</f>
        <v>00711534</v>
      </c>
    </row>
    <row r="13579" spans="1:2" x14ac:dyDescent="0.25">
      <c r="A13579" s="4">
        <v>13574</v>
      </c>
      <c r="B13579" s="3" t="str">
        <f>"00711538"</f>
        <v>00711538</v>
      </c>
    </row>
    <row r="13580" spans="1:2" x14ac:dyDescent="0.25">
      <c r="A13580" s="4">
        <v>13575</v>
      </c>
      <c r="B13580" s="3" t="str">
        <f>"00711539"</f>
        <v>00711539</v>
      </c>
    </row>
    <row r="13581" spans="1:2" x14ac:dyDescent="0.25">
      <c r="A13581" s="4">
        <v>13576</v>
      </c>
      <c r="B13581" s="3" t="str">
        <f>"00711547"</f>
        <v>00711547</v>
      </c>
    </row>
    <row r="13582" spans="1:2" x14ac:dyDescent="0.25">
      <c r="A13582" s="4">
        <v>13577</v>
      </c>
      <c r="B13582" s="3" t="str">
        <f>"00711559"</f>
        <v>00711559</v>
      </c>
    </row>
    <row r="13583" spans="1:2" x14ac:dyDescent="0.25">
      <c r="A13583" s="4">
        <v>13578</v>
      </c>
      <c r="B13583" s="3" t="str">
        <f>"00711569"</f>
        <v>00711569</v>
      </c>
    </row>
    <row r="13584" spans="1:2" x14ac:dyDescent="0.25">
      <c r="A13584" s="4">
        <v>13579</v>
      </c>
      <c r="B13584" s="3" t="str">
        <f>"00711583"</f>
        <v>00711583</v>
      </c>
    </row>
    <row r="13585" spans="1:2" x14ac:dyDescent="0.25">
      <c r="A13585" s="4">
        <v>13580</v>
      </c>
      <c r="B13585" s="3" t="str">
        <f>"00711584"</f>
        <v>00711584</v>
      </c>
    </row>
    <row r="13586" spans="1:2" x14ac:dyDescent="0.25">
      <c r="A13586" s="4">
        <v>13581</v>
      </c>
      <c r="B13586" s="3" t="str">
        <f>"00711590"</f>
        <v>00711590</v>
      </c>
    </row>
    <row r="13587" spans="1:2" x14ac:dyDescent="0.25">
      <c r="A13587" s="4">
        <v>13582</v>
      </c>
      <c r="B13587" s="3" t="str">
        <f>"00711591"</f>
        <v>00711591</v>
      </c>
    </row>
    <row r="13588" spans="1:2" x14ac:dyDescent="0.25">
      <c r="A13588" s="4">
        <v>13583</v>
      </c>
      <c r="B13588" s="3" t="str">
        <f>"00711594"</f>
        <v>00711594</v>
      </c>
    </row>
    <row r="13589" spans="1:2" x14ac:dyDescent="0.25">
      <c r="A13589" s="4">
        <v>13584</v>
      </c>
      <c r="B13589" s="3" t="str">
        <f>"00711600"</f>
        <v>00711600</v>
      </c>
    </row>
    <row r="13590" spans="1:2" x14ac:dyDescent="0.25">
      <c r="A13590" s="4">
        <v>13585</v>
      </c>
      <c r="B13590" s="3" t="str">
        <f>"00711615"</f>
        <v>00711615</v>
      </c>
    </row>
    <row r="13591" spans="1:2" x14ac:dyDescent="0.25">
      <c r="A13591" s="4">
        <v>13586</v>
      </c>
      <c r="B13591" s="3" t="str">
        <f>"00711629"</f>
        <v>00711629</v>
      </c>
    </row>
    <row r="13592" spans="1:2" x14ac:dyDescent="0.25">
      <c r="A13592" s="4">
        <v>13587</v>
      </c>
      <c r="B13592" s="3" t="str">
        <f>"00711631"</f>
        <v>00711631</v>
      </c>
    </row>
    <row r="13593" spans="1:2" x14ac:dyDescent="0.25">
      <c r="A13593" s="4">
        <v>13588</v>
      </c>
      <c r="B13593" s="3" t="str">
        <f>"00711638"</f>
        <v>00711638</v>
      </c>
    </row>
    <row r="13594" spans="1:2" x14ac:dyDescent="0.25">
      <c r="A13594" s="4">
        <v>13589</v>
      </c>
      <c r="B13594" s="3" t="str">
        <f>"00711639"</f>
        <v>00711639</v>
      </c>
    </row>
    <row r="13595" spans="1:2" x14ac:dyDescent="0.25">
      <c r="A13595" s="4">
        <v>13590</v>
      </c>
      <c r="B13595" s="3" t="str">
        <f>"00711711"</f>
        <v>00711711</v>
      </c>
    </row>
    <row r="13596" spans="1:2" x14ac:dyDescent="0.25">
      <c r="A13596" s="4">
        <v>13591</v>
      </c>
      <c r="B13596" s="3" t="str">
        <f>"00711717"</f>
        <v>00711717</v>
      </c>
    </row>
    <row r="13597" spans="1:2" x14ac:dyDescent="0.25">
      <c r="A13597" s="4">
        <v>13592</v>
      </c>
      <c r="B13597" s="3" t="str">
        <f>"00711721"</f>
        <v>00711721</v>
      </c>
    </row>
    <row r="13598" spans="1:2" x14ac:dyDescent="0.25">
      <c r="A13598" s="4">
        <v>13593</v>
      </c>
      <c r="B13598" s="3" t="str">
        <f>"00711722"</f>
        <v>00711722</v>
      </c>
    </row>
    <row r="13599" spans="1:2" x14ac:dyDescent="0.25">
      <c r="A13599" s="4">
        <v>13594</v>
      </c>
      <c r="B13599" s="3" t="str">
        <f>"00711736"</f>
        <v>00711736</v>
      </c>
    </row>
    <row r="13600" spans="1:2" x14ac:dyDescent="0.25">
      <c r="A13600" s="4">
        <v>13595</v>
      </c>
      <c r="B13600" s="3" t="str">
        <f>"00711740"</f>
        <v>00711740</v>
      </c>
    </row>
    <row r="13601" spans="1:2" x14ac:dyDescent="0.25">
      <c r="A13601" s="4">
        <v>13596</v>
      </c>
      <c r="B13601" s="3" t="str">
        <f>"00711749"</f>
        <v>00711749</v>
      </c>
    </row>
    <row r="13602" spans="1:2" x14ac:dyDescent="0.25">
      <c r="A13602" s="4">
        <v>13597</v>
      </c>
      <c r="B13602" s="3" t="str">
        <f>"00711760"</f>
        <v>00711760</v>
      </c>
    </row>
    <row r="13603" spans="1:2" x14ac:dyDescent="0.25">
      <c r="A13603" s="4">
        <v>13598</v>
      </c>
      <c r="B13603" s="3" t="str">
        <f>"00711761"</f>
        <v>00711761</v>
      </c>
    </row>
    <row r="13604" spans="1:2" x14ac:dyDescent="0.25">
      <c r="A13604" s="4">
        <v>13599</v>
      </c>
      <c r="B13604" s="3" t="str">
        <f>"00711779"</f>
        <v>00711779</v>
      </c>
    </row>
    <row r="13605" spans="1:2" x14ac:dyDescent="0.25">
      <c r="A13605" s="4">
        <v>13600</v>
      </c>
      <c r="B13605" s="3" t="str">
        <f>"00711785"</f>
        <v>00711785</v>
      </c>
    </row>
    <row r="13606" spans="1:2" x14ac:dyDescent="0.25">
      <c r="A13606" s="4">
        <v>13601</v>
      </c>
      <c r="B13606" s="3" t="str">
        <f>"00711794"</f>
        <v>00711794</v>
      </c>
    </row>
    <row r="13607" spans="1:2" x14ac:dyDescent="0.25">
      <c r="A13607" s="4">
        <v>13602</v>
      </c>
      <c r="B13607" s="3" t="str">
        <f>"00711796"</f>
        <v>00711796</v>
      </c>
    </row>
    <row r="13608" spans="1:2" x14ac:dyDescent="0.25">
      <c r="A13608" s="4">
        <v>13603</v>
      </c>
      <c r="B13608" s="3" t="str">
        <f>"00711797"</f>
        <v>00711797</v>
      </c>
    </row>
    <row r="13609" spans="1:2" x14ac:dyDescent="0.25">
      <c r="A13609" s="4">
        <v>13604</v>
      </c>
      <c r="B13609" s="3" t="str">
        <f>"00711803"</f>
        <v>00711803</v>
      </c>
    </row>
    <row r="13610" spans="1:2" x14ac:dyDescent="0.25">
      <c r="A13610" s="4">
        <v>13605</v>
      </c>
      <c r="B13610" s="3" t="str">
        <f>"00711813"</f>
        <v>00711813</v>
      </c>
    </row>
    <row r="13611" spans="1:2" x14ac:dyDescent="0.25">
      <c r="A13611" s="4">
        <v>13606</v>
      </c>
      <c r="B13611" s="3" t="str">
        <f>"00711834"</f>
        <v>00711834</v>
      </c>
    </row>
    <row r="13612" spans="1:2" x14ac:dyDescent="0.25">
      <c r="A13612" s="4">
        <v>13607</v>
      </c>
      <c r="B13612" s="3" t="str">
        <f>"00711867"</f>
        <v>00711867</v>
      </c>
    </row>
    <row r="13613" spans="1:2" x14ac:dyDescent="0.25">
      <c r="A13613" s="4">
        <v>13608</v>
      </c>
      <c r="B13613" s="3" t="str">
        <f>"00711871"</f>
        <v>00711871</v>
      </c>
    </row>
    <row r="13614" spans="1:2" x14ac:dyDescent="0.25">
      <c r="A13614" s="4">
        <v>13609</v>
      </c>
      <c r="B13614" s="3" t="str">
        <f>"00711889"</f>
        <v>00711889</v>
      </c>
    </row>
    <row r="13615" spans="1:2" x14ac:dyDescent="0.25">
      <c r="A13615" s="4">
        <v>13610</v>
      </c>
      <c r="B13615" s="3" t="str">
        <f>"00711895"</f>
        <v>00711895</v>
      </c>
    </row>
    <row r="13616" spans="1:2" x14ac:dyDescent="0.25">
      <c r="A13616" s="4">
        <v>13611</v>
      </c>
      <c r="B13616" s="3" t="str">
        <f>"00711900"</f>
        <v>00711900</v>
      </c>
    </row>
    <row r="13617" spans="1:2" x14ac:dyDescent="0.25">
      <c r="A13617" s="4">
        <v>13612</v>
      </c>
      <c r="B13617" s="3" t="str">
        <f>"00711905"</f>
        <v>00711905</v>
      </c>
    </row>
    <row r="13618" spans="1:2" x14ac:dyDescent="0.25">
      <c r="A13618" s="4">
        <v>13613</v>
      </c>
      <c r="B13618" s="3" t="str">
        <f>"00711910"</f>
        <v>00711910</v>
      </c>
    </row>
    <row r="13619" spans="1:2" x14ac:dyDescent="0.25">
      <c r="A13619" s="4">
        <v>13614</v>
      </c>
      <c r="B13619" s="3" t="str">
        <f>"00711911"</f>
        <v>00711911</v>
      </c>
    </row>
    <row r="13620" spans="1:2" x14ac:dyDescent="0.25">
      <c r="A13620" s="4">
        <v>13615</v>
      </c>
      <c r="B13620" s="3" t="str">
        <f>"00711915"</f>
        <v>00711915</v>
      </c>
    </row>
    <row r="13621" spans="1:2" x14ac:dyDescent="0.25">
      <c r="A13621" s="4">
        <v>13616</v>
      </c>
      <c r="B13621" s="3" t="str">
        <f>"00711923"</f>
        <v>00711923</v>
      </c>
    </row>
    <row r="13622" spans="1:2" x14ac:dyDescent="0.25">
      <c r="A13622" s="4">
        <v>13617</v>
      </c>
      <c r="B13622" s="3" t="str">
        <f>"00711924"</f>
        <v>00711924</v>
      </c>
    </row>
    <row r="13623" spans="1:2" x14ac:dyDescent="0.25">
      <c r="A13623" s="4">
        <v>13618</v>
      </c>
      <c r="B13623" s="3" t="str">
        <f>"00711931"</f>
        <v>00711931</v>
      </c>
    </row>
    <row r="13624" spans="1:2" x14ac:dyDescent="0.25">
      <c r="A13624" s="4">
        <v>13619</v>
      </c>
      <c r="B13624" s="3" t="str">
        <f>"00711937"</f>
        <v>00711937</v>
      </c>
    </row>
    <row r="13625" spans="1:2" x14ac:dyDescent="0.25">
      <c r="A13625" s="4">
        <v>13620</v>
      </c>
      <c r="B13625" s="3" t="str">
        <f>"00711939"</f>
        <v>00711939</v>
      </c>
    </row>
    <row r="13626" spans="1:2" x14ac:dyDescent="0.25">
      <c r="A13626" s="4">
        <v>13621</v>
      </c>
      <c r="B13626" s="3" t="str">
        <f>"00711963"</f>
        <v>00711963</v>
      </c>
    </row>
    <row r="13627" spans="1:2" x14ac:dyDescent="0.25">
      <c r="A13627" s="4">
        <v>13622</v>
      </c>
      <c r="B13627" s="3" t="str">
        <f>"00711985"</f>
        <v>00711985</v>
      </c>
    </row>
    <row r="13628" spans="1:2" x14ac:dyDescent="0.25">
      <c r="A13628" s="4">
        <v>13623</v>
      </c>
      <c r="B13628" s="3" t="str">
        <f>"00711994"</f>
        <v>00711994</v>
      </c>
    </row>
    <row r="13629" spans="1:2" x14ac:dyDescent="0.25">
      <c r="A13629" s="4">
        <v>13624</v>
      </c>
      <c r="B13629" s="3" t="str">
        <f>"00711995"</f>
        <v>00711995</v>
      </c>
    </row>
    <row r="13630" spans="1:2" x14ac:dyDescent="0.25">
      <c r="A13630" s="4">
        <v>13625</v>
      </c>
      <c r="B13630" s="3" t="str">
        <f>"00712020"</f>
        <v>00712020</v>
      </c>
    </row>
    <row r="13631" spans="1:2" x14ac:dyDescent="0.25">
      <c r="A13631" s="4">
        <v>13626</v>
      </c>
      <c r="B13631" s="3" t="str">
        <f>"00712046"</f>
        <v>00712046</v>
      </c>
    </row>
    <row r="13632" spans="1:2" x14ac:dyDescent="0.25">
      <c r="A13632" s="4">
        <v>13627</v>
      </c>
      <c r="B13632" s="3" t="str">
        <f>"00712054"</f>
        <v>00712054</v>
      </c>
    </row>
    <row r="13633" spans="1:2" x14ac:dyDescent="0.25">
      <c r="A13633" s="4">
        <v>13628</v>
      </c>
      <c r="B13633" s="3" t="str">
        <f>"00712056"</f>
        <v>00712056</v>
      </c>
    </row>
    <row r="13634" spans="1:2" x14ac:dyDescent="0.25">
      <c r="A13634" s="4">
        <v>13629</v>
      </c>
      <c r="B13634" s="3" t="str">
        <f>"00712059"</f>
        <v>00712059</v>
      </c>
    </row>
    <row r="13635" spans="1:2" x14ac:dyDescent="0.25">
      <c r="A13635" s="4">
        <v>13630</v>
      </c>
      <c r="B13635" s="3" t="str">
        <f>"00712068"</f>
        <v>00712068</v>
      </c>
    </row>
    <row r="13636" spans="1:2" x14ac:dyDescent="0.25">
      <c r="A13636" s="4">
        <v>13631</v>
      </c>
      <c r="B13636" s="3" t="str">
        <f>"00712077"</f>
        <v>00712077</v>
      </c>
    </row>
    <row r="13637" spans="1:2" x14ac:dyDescent="0.25">
      <c r="A13637" s="4">
        <v>13632</v>
      </c>
      <c r="B13637" s="3" t="str">
        <f>"00712078"</f>
        <v>00712078</v>
      </c>
    </row>
    <row r="13638" spans="1:2" x14ac:dyDescent="0.25">
      <c r="A13638" s="4">
        <v>13633</v>
      </c>
      <c r="B13638" s="3" t="str">
        <f>"00712082"</f>
        <v>00712082</v>
      </c>
    </row>
    <row r="13639" spans="1:2" x14ac:dyDescent="0.25">
      <c r="A13639" s="4">
        <v>13634</v>
      </c>
      <c r="B13639" s="3" t="str">
        <f>"00712112"</f>
        <v>00712112</v>
      </c>
    </row>
    <row r="13640" spans="1:2" x14ac:dyDescent="0.25">
      <c r="A13640" s="4">
        <v>13635</v>
      </c>
      <c r="B13640" s="3" t="str">
        <f>"00712120"</f>
        <v>00712120</v>
      </c>
    </row>
    <row r="13641" spans="1:2" x14ac:dyDescent="0.25">
      <c r="A13641" s="4">
        <v>13636</v>
      </c>
      <c r="B13641" s="3" t="str">
        <f>"00712123"</f>
        <v>00712123</v>
      </c>
    </row>
    <row r="13642" spans="1:2" x14ac:dyDescent="0.25">
      <c r="A13642" s="4">
        <v>13637</v>
      </c>
      <c r="B13642" s="3" t="str">
        <f>"00712124"</f>
        <v>00712124</v>
      </c>
    </row>
    <row r="13643" spans="1:2" x14ac:dyDescent="0.25">
      <c r="A13643" s="4">
        <v>13638</v>
      </c>
      <c r="B13643" s="3" t="str">
        <f>"00712129"</f>
        <v>00712129</v>
      </c>
    </row>
    <row r="13644" spans="1:2" x14ac:dyDescent="0.25">
      <c r="A13644" s="4">
        <v>13639</v>
      </c>
      <c r="B13644" s="3" t="str">
        <f>"00712146"</f>
        <v>00712146</v>
      </c>
    </row>
    <row r="13645" spans="1:2" x14ac:dyDescent="0.25">
      <c r="A13645" s="4">
        <v>13640</v>
      </c>
      <c r="B13645" s="3" t="str">
        <f>"00712157"</f>
        <v>00712157</v>
      </c>
    </row>
    <row r="13646" spans="1:2" x14ac:dyDescent="0.25">
      <c r="A13646" s="4">
        <v>13641</v>
      </c>
      <c r="B13646" s="3" t="str">
        <f>"00712159"</f>
        <v>00712159</v>
      </c>
    </row>
    <row r="13647" spans="1:2" x14ac:dyDescent="0.25">
      <c r="A13647" s="4">
        <v>13642</v>
      </c>
      <c r="B13647" s="3" t="str">
        <f>"00712172"</f>
        <v>00712172</v>
      </c>
    </row>
    <row r="13648" spans="1:2" x14ac:dyDescent="0.25">
      <c r="A13648" s="4">
        <v>13643</v>
      </c>
      <c r="B13648" s="3" t="str">
        <f>"00712177"</f>
        <v>00712177</v>
      </c>
    </row>
    <row r="13649" spans="1:2" x14ac:dyDescent="0.25">
      <c r="A13649" s="4">
        <v>13644</v>
      </c>
      <c r="B13649" s="3" t="str">
        <f>"00712181"</f>
        <v>00712181</v>
      </c>
    </row>
    <row r="13650" spans="1:2" x14ac:dyDescent="0.25">
      <c r="A13650" s="4">
        <v>13645</v>
      </c>
      <c r="B13650" s="3" t="str">
        <f>"00712205"</f>
        <v>00712205</v>
      </c>
    </row>
    <row r="13651" spans="1:2" x14ac:dyDescent="0.25">
      <c r="A13651" s="4">
        <v>13646</v>
      </c>
      <c r="B13651" s="3" t="str">
        <f>"00712208"</f>
        <v>00712208</v>
      </c>
    </row>
    <row r="13652" spans="1:2" x14ac:dyDescent="0.25">
      <c r="A13652" s="4">
        <v>13647</v>
      </c>
      <c r="B13652" s="3" t="str">
        <f>"00712222"</f>
        <v>00712222</v>
      </c>
    </row>
    <row r="13653" spans="1:2" x14ac:dyDescent="0.25">
      <c r="A13653" s="4">
        <v>13648</v>
      </c>
      <c r="B13653" s="3" t="str">
        <f>"00712228"</f>
        <v>00712228</v>
      </c>
    </row>
    <row r="13654" spans="1:2" x14ac:dyDescent="0.25">
      <c r="A13654" s="4">
        <v>13649</v>
      </c>
      <c r="B13654" s="3" t="str">
        <f>"00712234"</f>
        <v>00712234</v>
      </c>
    </row>
    <row r="13655" spans="1:2" x14ac:dyDescent="0.25">
      <c r="A13655" s="4">
        <v>13650</v>
      </c>
      <c r="B13655" s="3" t="str">
        <f>"00712250"</f>
        <v>00712250</v>
      </c>
    </row>
    <row r="13656" spans="1:2" x14ac:dyDescent="0.25">
      <c r="A13656" s="4">
        <v>13651</v>
      </c>
      <c r="B13656" s="3" t="str">
        <f>"00712253"</f>
        <v>00712253</v>
      </c>
    </row>
    <row r="13657" spans="1:2" x14ac:dyDescent="0.25">
      <c r="A13657" s="4">
        <v>13652</v>
      </c>
      <c r="B13657" s="3" t="str">
        <f>"00712254"</f>
        <v>00712254</v>
      </c>
    </row>
    <row r="13658" spans="1:2" x14ac:dyDescent="0.25">
      <c r="A13658" s="4">
        <v>13653</v>
      </c>
      <c r="B13658" s="3" t="str">
        <f>"00712255"</f>
        <v>00712255</v>
      </c>
    </row>
    <row r="13659" spans="1:2" x14ac:dyDescent="0.25">
      <c r="A13659" s="4">
        <v>13654</v>
      </c>
      <c r="B13659" s="3" t="str">
        <f>"00712266"</f>
        <v>00712266</v>
      </c>
    </row>
    <row r="13660" spans="1:2" x14ac:dyDescent="0.25">
      <c r="A13660" s="4">
        <v>13655</v>
      </c>
      <c r="B13660" s="3" t="str">
        <f>"00712278"</f>
        <v>00712278</v>
      </c>
    </row>
    <row r="13661" spans="1:2" x14ac:dyDescent="0.25">
      <c r="A13661" s="4">
        <v>13656</v>
      </c>
      <c r="B13661" s="3" t="str">
        <f>"00712279"</f>
        <v>00712279</v>
      </c>
    </row>
    <row r="13662" spans="1:2" x14ac:dyDescent="0.25">
      <c r="A13662" s="4">
        <v>13657</v>
      </c>
      <c r="B13662" s="3" t="str">
        <f>"00712284"</f>
        <v>00712284</v>
      </c>
    </row>
    <row r="13663" spans="1:2" x14ac:dyDescent="0.25">
      <c r="A13663" s="4">
        <v>13658</v>
      </c>
      <c r="B13663" s="3" t="str">
        <f>"00712300"</f>
        <v>00712300</v>
      </c>
    </row>
    <row r="13664" spans="1:2" x14ac:dyDescent="0.25">
      <c r="A13664" s="4">
        <v>13659</v>
      </c>
      <c r="B13664" s="3" t="str">
        <f>"00712306"</f>
        <v>00712306</v>
      </c>
    </row>
    <row r="13665" spans="1:2" x14ac:dyDescent="0.25">
      <c r="A13665" s="4">
        <v>13660</v>
      </c>
      <c r="B13665" s="3" t="str">
        <f>"00712308"</f>
        <v>00712308</v>
      </c>
    </row>
    <row r="13666" spans="1:2" x14ac:dyDescent="0.25">
      <c r="A13666" s="4">
        <v>13661</v>
      </c>
      <c r="B13666" s="3" t="str">
        <f>"00712310"</f>
        <v>00712310</v>
      </c>
    </row>
    <row r="13667" spans="1:2" x14ac:dyDescent="0.25">
      <c r="A13667" s="4">
        <v>13662</v>
      </c>
      <c r="B13667" s="3" t="str">
        <f>"00712324"</f>
        <v>00712324</v>
      </c>
    </row>
    <row r="13668" spans="1:2" x14ac:dyDescent="0.25">
      <c r="A13668" s="4">
        <v>13663</v>
      </c>
      <c r="B13668" s="3" t="str">
        <f>"00712336"</f>
        <v>00712336</v>
      </c>
    </row>
    <row r="13669" spans="1:2" x14ac:dyDescent="0.25">
      <c r="A13669" s="4">
        <v>13664</v>
      </c>
      <c r="B13669" s="3" t="str">
        <f>"00712347"</f>
        <v>00712347</v>
      </c>
    </row>
    <row r="13670" spans="1:2" x14ac:dyDescent="0.25">
      <c r="A13670" s="4">
        <v>13665</v>
      </c>
      <c r="B13670" s="3" t="str">
        <f>"00712355"</f>
        <v>00712355</v>
      </c>
    </row>
    <row r="13671" spans="1:2" x14ac:dyDescent="0.25">
      <c r="A13671" s="4">
        <v>13666</v>
      </c>
      <c r="B13671" s="3" t="str">
        <f>"00712360"</f>
        <v>00712360</v>
      </c>
    </row>
    <row r="13672" spans="1:2" x14ac:dyDescent="0.25">
      <c r="A13672" s="4">
        <v>13667</v>
      </c>
      <c r="B13672" s="3" t="str">
        <f>"00712361"</f>
        <v>00712361</v>
      </c>
    </row>
    <row r="13673" spans="1:2" x14ac:dyDescent="0.25">
      <c r="A13673" s="4">
        <v>13668</v>
      </c>
      <c r="B13673" s="3" t="str">
        <f>"00712362"</f>
        <v>00712362</v>
      </c>
    </row>
    <row r="13674" spans="1:2" x14ac:dyDescent="0.25">
      <c r="A13674" s="4">
        <v>13669</v>
      </c>
      <c r="B13674" s="3" t="str">
        <f>"00712364"</f>
        <v>00712364</v>
      </c>
    </row>
    <row r="13675" spans="1:2" x14ac:dyDescent="0.25">
      <c r="A13675" s="4">
        <v>13670</v>
      </c>
      <c r="B13675" s="3" t="str">
        <f>"00712375"</f>
        <v>00712375</v>
      </c>
    </row>
    <row r="13676" spans="1:2" x14ac:dyDescent="0.25">
      <c r="A13676" s="4">
        <v>13671</v>
      </c>
      <c r="B13676" s="3" t="str">
        <f>"00712381"</f>
        <v>00712381</v>
      </c>
    </row>
    <row r="13677" spans="1:2" x14ac:dyDescent="0.25">
      <c r="A13677" s="4">
        <v>13672</v>
      </c>
      <c r="B13677" s="3" t="str">
        <f>"00712392"</f>
        <v>00712392</v>
      </c>
    </row>
    <row r="13678" spans="1:2" x14ac:dyDescent="0.25">
      <c r="A13678" s="4">
        <v>13673</v>
      </c>
      <c r="B13678" s="3" t="str">
        <f>"00712393"</f>
        <v>00712393</v>
      </c>
    </row>
    <row r="13679" spans="1:2" x14ac:dyDescent="0.25">
      <c r="A13679" s="4">
        <v>13674</v>
      </c>
      <c r="B13679" s="3" t="str">
        <f>"00712415"</f>
        <v>00712415</v>
      </c>
    </row>
    <row r="13680" spans="1:2" x14ac:dyDescent="0.25">
      <c r="A13680" s="4">
        <v>13675</v>
      </c>
      <c r="B13680" s="3" t="str">
        <f>"00712426"</f>
        <v>00712426</v>
      </c>
    </row>
    <row r="13681" spans="1:2" x14ac:dyDescent="0.25">
      <c r="A13681" s="4">
        <v>13676</v>
      </c>
      <c r="B13681" s="3" t="str">
        <f>"00712429"</f>
        <v>00712429</v>
      </c>
    </row>
    <row r="13682" spans="1:2" x14ac:dyDescent="0.25">
      <c r="A13682" s="4">
        <v>13677</v>
      </c>
      <c r="B13682" s="3" t="str">
        <f>"00712438"</f>
        <v>00712438</v>
      </c>
    </row>
    <row r="13683" spans="1:2" x14ac:dyDescent="0.25">
      <c r="A13683" s="4">
        <v>13678</v>
      </c>
      <c r="B13683" s="3" t="str">
        <f>"00712441"</f>
        <v>00712441</v>
      </c>
    </row>
    <row r="13684" spans="1:2" x14ac:dyDescent="0.25">
      <c r="A13684" s="4">
        <v>13679</v>
      </c>
      <c r="B13684" s="3" t="str">
        <f>"00712445"</f>
        <v>00712445</v>
      </c>
    </row>
    <row r="13685" spans="1:2" x14ac:dyDescent="0.25">
      <c r="A13685" s="4">
        <v>13680</v>
      </c>
      <c r="B13685" s="3" t="str">
        <f>"00712455"</f>
        <v>00712455</v>
      </c>
    </row>
    <row r="13686" spans="1:2" x14ac:dyDescent="0.25">
      <c r="A13686" s="4">
        <v>13681</v>
      </c>
      <c r="B13686" s="3" t="str">
        <f>"00712465"</f>
        <v>00712465</v>
      </c>
    </row>
    <row r="13687" spans="1:2" x14ac:dyDescent="0.25">
      <c r="A13687" s="4">
        <v>13682</v>
      </c>
      <c r="B13687" s="3" t="str">
        <f>"00712494"</f>
        <v>00712494</v>
      </c>
    </row>
    <row r="13688" spans="1:2" x14ac:dyDescent="0.25">
      <c r="A13688" s="4">
        <v>13683</v>
      </c>
      <c r="B13688" s="3" t="str">
        <f>"00712497"</f>
        <v>00712497</v>
      </c>
    </row>
    <row r="13689" spans="1:2" x14ac:dyDescent="0.25">
      <c r="A13689" s="4">
        <v>13684</v>
      </c>
      <c r="B13689" s="3" t="str">
        <f>"00712510"</f>
        <v>00712510</v>
      </c>
    </row>
    <row r="13690" spans="1:2" x14ac:dyDescent="0.25">
      <c r="A13690" s="4">
        <v>13685</v>
      </c>
      <c r="B13690" s="3" t="str">
        <f>"00712517"</f>
        <v>00712517</v>
      </c>
    </row>
    <row r="13691" spans="1:2" x14ac:dyDescent="0.25">
      <c r="A13691" s="4">
        <v>13686</v>
      </c>
      <c r="B13691" s="3" t="str">
        <f>"00712519"</f>
        <v>00712519</v>
      </c>
    </row>
    <row r="13692" spans="1:2" x14ac:dyDescent="0.25">
      <c r="A13692" s="4">
        <v>13687</v>
      </c>
      <c r="B13692" s="3" t="str">
        <f>"00712531"</f>
        <v>00712531</v>
      </c>
    </row>
    <row r="13693" spans="1:2" x14ac:dyDescent="0.25">
      <c r="A13693" s="4">
        <v>13688</v>
      </c>
      <c r="B13693" s="3" t="str">
        <f>"00712535"</f>
        <v>00712535</v>
      </c>
    </row>
    <row r="13694" spans="1:2" x14ac:dyDescent="0.25">
      <c r="A13694" s="4">
        <v>13689</v>
      </c>
      <c r="B13694" s="3" t="str">
        <f>"00712546"</f>
        <v>00712546</v>
      </c>
    </row>
    <row r="13695" spans="1:2" x14ac:dyDescent="0.25">
      <c r="A13695" s="4">
        <v>13690</v>
      </c>
      <c r="B13695" s="3" t="str">
        <f>"00712556"</f>
        <v>00712556</v>
      </c>
    </row>
    <row r="13696" spans="1:2" x14ac:dyDescent="0.25">
      <c r="A13696" s="4">
        <v>13691</v>
      </c>
      <c r="B13696" s="3" t="str">
        <f>"00712562"</f>
        <v>00712562</v>
      </c>
    </row>
    <row r="13697" spans="1:2" x14ac:dyDescent="0.25">
      <c r="A13697" s="4">
        <v>13692</v>
      </c>
      <c r="B13697" s="3" t="str">
        <f>"00712564"</f>
        <v>00712564</v>
      </c>
    </row>
    <row r="13698" spans="1:2" x14ac:dyDescent="0.25">
      <c r="A13698" s="4">
        <v>13693</v>
      </c>
      <c r="B13698" s="3" t="str">
        <f>"00712587"</f>
        <v>00712587</v>
      </c>
    </row>
    <row r="13699" spans="1:2" x14ac:dyDescent="0.25">
      <c r="A13699" s="4">
        <v>13694</v>
      </c>
      <c r="B13699" s="3" t="str">
        <f>"00712592"</f>
        <v>00712592</v>
      </c>
    </row>
    <row r="13700" spans="1:2" x14ac:dyDescent="0.25">
      <c r="A13700" s="4">
        <v>13695</v>
      </c>
      <c r="B13700" s="3" t="str">
        <f>"00712598"</f>
        <v>00712598</v>
      </c>
    </row>
    <row r="13701" spans="1:2" x14ac:dyDescent="0.25">
      <c r="A13701" s="4">
        <v>13696</v>
      </c>
      <c r="B13701" s="3" t="str">
        <f>"00712600"</f>
        <v>00712600</v>
      </c>
    </row>
    <row r="13702" spans="1:2" x14ac:dyDescent="0.25">
      <c r="A13702" s="4">
        <v>13697</v>
      </c>
      <c r="B13702" s="3" t="str">
        <f>"00712604"</f>
        <v>00712604</v>
      </c>
    </row>
    <row r="13703" spans="1:2" x14ac:dyDescent="0.25">
      <c r="A13703" s="4">
        <v>13698</v>
      </c>
      <c r="B13703" s="3" t="str">
        <f>"00712608"</f>
        <v>00712608</v>
      </c>
    </row>
    <row r="13704" spans="1:2" x14ac:dyDescent="0.25">
      <c r="A13704" s="4">
        <v>13699</v>
      </c>
      <c r="B13704" s="3" t="str">
        <f>"00712612"</f>
        <v>00712612</v>
      </c>
    </row>
    <row r="13705" spans="1:2" x14ac:dyDescent="0.25">
      <c r="A13705" s="4">
        <v>13700</v>
      </c>
      <c r="B13705" s="3" t="str">
        <f>"00712619"</f>
        <v>00712619</v>
      </c>
    </row>
    <row r="13706" spans="1:2" x14ac:dyDescent="0.25">
      <c r="A13706" s="4">
        <v>13701</v>
      </c>
      <c r="B13706" s="3" t="str">
        <f>"00712621"</f>
        <v>00712621</v>
      </c>
    </row>
    <row r="13707" spans="1:2" x14ac:dyDescent="0.25">
      <c r="A13707" s="4">
        <v>13702</v>
      </c>
      <c r="B13707" s="3" t="str">
        <f>"00712645"</f>
        <v>00712645</v>
      </c>
    </row>
    <row r="13708" spans="1:2" x14ac:dyDescent="0.25">
      <c r="A13708" s="4">
        <v>13703</v>
      </c>
      <c r="B13708" s="3" t="str">
        <f>"00712650"</f>
        <v>00712650</v>
      </c>
    </row>
    <row r="13709" spans="1:2" x14ac:dyDescent="0.25">
      <c r="A13709" s="4">
        <v>13704</v>
      </c>
      <c r="B13709" s="3" t="str">
        <f>"00712656"</f>
        <v>00712656</v>
      </c>
    </row>
    <row r="13710" spans="1:2" x14ac:dyDescent="0.25">
      <c r="A13710" s="4">
        <v>13705</v>
      </c>
      <c r="B13710" s="3" t="str">
        <f>"00712660"</f>
        <v>00712660</v>
      </c>
    </row>
    <row r="13711" spans="1:2" x14ac:dyDescent="0.25">
      <c r="A13711" s="4">
        <v>13706</v>
      </c>
      <c r="B13711" s="3" t="str">
        <f>"00712734"</f>
        <v>00712734</v>
      </c>
    </row>
    <row r="13712" spans="1:2" x14ac:dyDescent="0.25">
      <c r="A13712" s="4">
        <v>13707</v>
      </c>
      <c r="B13712" s="3" t="str">
        <f>"00712736"</f>
        <v>00712736</v>
      </c>
    </row>
    <row r="13713" spans="1:2" x14ac:dyDescent="0.25">
      <c r="A13713" s="4">
        <v>13708</v>
      </c>
      <c r="B13713" s="3" t="str">
        <f>"00712739"</f>
        <v>00712739</v>
      </c>
    </row>
    <row r="13714" spans="1:2" x14ac:dyDescent="0.25">
      <c r="A13714" s="4">
        <v>13709</v>
      </c>
      <c r="B13714" s="3" t="str">
        <f>"00712742"</f>
        <v>00712742</v>
      </c>
    </row>
    <row r="13715" spans="1:2" x14ac:dyDescent="0.25">
      <c r="A13715" s="4">
        <v>13710</v>
      </c>
      <c r="B13715" s="3" t="str">
        <f>"00712743"</f>
        <v>00712743</v>
      </c>
    </row>
    <row r="13716" spans="1:2" x14ac:dyDescent="0.25">
      <c r="A13716" s="4">
        <v>13711</v>
      </c>
      <c r="B13716" s="3" t="str">
        <f>"00712745"</f>
        <v>00712745</v>
      </c>
    </row>
    <row r="13717" spans="1:2" x14ac:dyDescent="0.25">
      <c r="A13717" s="4">
        <v>13712</v>
      </c>
      <c r="B13717" s="3" t="str">
        <f>"00712756"</f>
        <v>00712756</v>
      </c>
    </row>
    <row r="13718" spans="1:2" x14ac:dyDescent="0.25">
      <c r="A13718" s="4">
        <v>13713</v>
      </c>
      <c r="B13718" s="3" t="str">
        <f>"00712771"</f>
        <v>00712771</v>
      </c>
    </row>
    <row r="13719" spans="1:2" x14ac:dyDescent="0.25">
      <c r="A13719" s="4">
        <v>13714</v>
      </c>
      <c r="B13719" s="3" t="str">
        <f>"00712784"</f>
        <v>00712784</v>
      </c>
    </row>
    <row r="13720" spans="1:2" x14ac:dyDescent="0.25">
      <c r="A13720" s="4">
        <v>13715</v>
      </c>
      <c r="B13720" s="3" t="str">
        <f>"00712786"</f>
        <v>00712786</v>
      </c>
    </row>
    <row r="13721" spans="1:2" x14ac:dyDescent="0.25">
      <c r="A13721" s="4">
        <v>13716</v>
      </c>
      <c r="B13721" s="3" t="str">
        <f>"00712787"</f>
        <v>00712787</v>
      </c>
    </row>
    <row r="13722" spans="1:2" x14ac:dyDescent="0.25">
      <c r="A13722" s="4">
        <v>13717</v>
      </c>
      <c r="B13722" s="3" t="str">
        <f>"00712816"</f>
        <v>00712816</v>
      </c>
    </row>
    <row r="13723" spans="1:2" x14ac:dyDescent="0.25">
      <c r="A13723" s="4">
        <v>13718</v>
      </c>
      <c r="B13723" s="3" t="str">
        <f>"00712817"</f>
        <v>00712817</v>
      </c>
    </row>
    <row r="13724" spans="1:2" x14ac:dyDescent="0.25">
      <c r="A13724" s="4">
        <v>13719</v>
      </c>
      <c r="B13724" s="3" t="str">
        <f>"00712819"</f>
        <v>00712819</v>
      </c>
    </row>
    <row r="13725" spans="1:2" x14ac:dyDescent="0.25">
      <c r="A13725" s="4">
        <v>13720</v>
      </c>
      <c r="B13725" s="3" t="str">
        <f>"00712820"</f>
        <v>00712820</v>
      </c>
    </row>
    <row r="13726" spans="1:2" x14ac:dyDescent="0.25">
      <c r="A13726" s="4">
        <v>13721</v>
      </c>
      <c r="B13726" s="3" t="str">
        <f>"00712837"</f>
        <v>00712837</v>
      </c>
    </row>
    <row r="13727" spans="1:2" x14ac:dyDescent="0.25">
      <c r="A13727" s="4">
        <v>13722</v>
      </c>
      <c r="B13727" s="3" t="str">
        <f>"00712841"</f>
        <v>00712841</v>
      </c>
    </row>
    <row r="13728" spans="1:2" x14ac:dyDescent="0.25">
      <c r="A13728" s="4">
        <v>13723</v>
      </c>
      <c r="B13728" s="3" t="str">
        <f>"00712846"</f>
        <v>00712846</v>
      </c>
    </row>
    <row r="13729" spans="1:2" x14ac:dyDescent="0.25">
      <c r="A13729" s="4">
        <v>13724</v>
      </c>
      <c r="B13729" s="3" t="str">
        <f>"00712854"</f>
        <v>00712854</v>
      </c>
    </row>
    <row r="13730" spans="1:2" x14ac:dyDescent="0.25">
      <c r="A13730" s="4">
        <v>13725</v>
      </c>
      <c r="B13730" s="3" t="str">
        <f>"00712867"</f>
        <v>00712867</v>
      </c>
    </row>
    <row r="13731" spans="1:2" x14ac:dyDescent="0.25">
      <c r="A13731" s="4">
        <v>13726</v>
      </c>
      <c r="B13731" s="3" t="str">
        <f>"00712889"</f>
        <v>00712889</v>
      </c>
    </row>
    <row r="13732" spans="1:2" x14ac:dyDescent="0.25">
      <c r="A13732" s="4">
        <v>13727</v>
      </c>
      <c r="B13732" s="3" t="str">
        <f>"00712906"</f>
        <v>00712906</v>
      </c>
    </row>
    <row r="13733" spans="1:2" x14ac:dyDescent="0.25">
      <c r="A13733" s="4">
        <v>13728</v>
      </c>
      <c r="B13733" s="3" t="str">
        <f>"00712915"</f>
        <v>00712915</v>
      </c>
    </row>
    <row r="13734" spans="1:2" x14ac:dyDescent="0.25">
      <c r="A13734" s="4">
        <v>13729</v>
      </c>
      <c r="B13734" s="3" t="str">
        <f>"00712929"</f>
        <v>00712929</v>
      </c>
    </row>
    <row r="13735" spans="1:2" x14ac:dyDescent="0.25">
      <c r="A13735" s="4">
        <v>13730</v>
      </c>
      <c r="B13735" s="3" t="str">
        <f>"00712942"</f>
        <v>00712942</v>
      </c>
    </row>
    <row r="13736" spans="1:2" x14ac:dyDescent="0.25">
      <c r="A13736" s="4">
        <v>13731</v>
      </c>
      <c r="B13736" s="3" t="str">
        <f>"00712944"</f>
        <v>00712944</v>
      </c>
    </row>
    <row r="13737" spans="1:2" x14ac:dyDescent="0.25">
      <c r="A13737" s="4">
        <v>13732</v>
      </c>
      <c r="B13737" s="3" t="str">
        <f>"00712959"</f>
        <v>00712959</v>
      </c>
    </row>
    <row r="13738" spans="1:2" x14ac:dyDescent="0.25">
      <c r="A13738" s="4">
        <v>13733</v>
      </c>
      <c r="B13738" s="3" t="str">
        <f>"00712966"</f>
        <v>00712966</v>
      </c>
    </row>
    <row r="13739" spans="1:2" x14ac:dyDescent="0.25">
      <c r="A13739" s="4">
        <v>13734</v>
      </c>
      <c r="B13739" s="3" t="str">
        <f>"00712975"</f>
        <v>00712975</v>
      </c>
    </row>
    <row r="13740" spans="1:2" x14ac:dyDescent="0.25">
      <c r="A13740" s="4">
        <v>13735</v>
      </c>
      <c r="B13740" s="3" t="str">
        <f>"00712976"</f>
        <v>00712976</v>
      </c>
    </row>
    <row r="13741" spans="1:2" x14ac:dyDescent="0.25">
      <c r="A13741" s="4">
        <v>13736</v>
      </c>
      <c r="B13741" s="3" t="str">
        <f>"00712977"</f>
        <v>00712977</v>
      </c>
    </row>
    <row r="13742" spans="1:2" x14ac:dyDescent="0.25">
      <c r="A13742" s="4">
        <v>13737</v>
      </c>
      <c r="B13742" s="3" t="str">
        <f>"00712978"</f>
        <v>00712978</v>
      </c>
    </row>
    <row r="13743" spans="1:2" x14ac:dyDescent="0.25">
      <c r="A13743" s="4">
        <v>13738</v>
      </c>
      <c r="B13743" s="3" t="str">
        <f>"00713005"</f>
        <v>00713005</v>
      </c>
    </row>
    <row r="13744" spans="1:2" x14ac:dyDescent="0.25">
      <c r="A13744" s="4">
        <v>13739</v>
      </c>
      <c r="B13744" s="3" t="str">
        <f>"00713013"</f>
        <v>00713013</v>
      </c>
    </row>
    <row r="13745" spans="1:2" x14ac:dyDescent="0.25">
      <c r="A13745" s="4">
        <v>13740</v>
      </c>
      <c r="B13745" s="3" t="str">
        <f>"00713020"</f>
        <v>00713020</v>
      </c>
    </row>
    <row r="13746" spans="1:2" x14ac:dyDescent="0.25">
      <c r="A13746" s="4">
        <v>13741</v>
      </c>
      <c r="B13746" s="3" t="str">
        <f>"00713025"</f>
        <v>00713025</v>
      </c>
    </row>
    <row r="13747" spans="1:2" x14ac:dyDescent="0.25">
      <c r="A13747" s="4">
        <v>13742</v>
      </c>
      <c r="B13747" s="3" t="str">
        <f>"00713044"</f>
        <v>00713044</v>
      </c>
    </row>
    <row r="13748" spans="1:2" x14ac:dyDescent="0.25">
      <c r="A13748" s="4">
        <v>13743</v>
      </c>
      <c r="B13748" s="3" t="str">
        <f>"00713049"</f>
        <v>00713049</v>
      </c>
    </row>
    <row r="13749" spans="1:2" x14ac:dyDescent="0.25">
      <c r="A13749" s="4">
        <v>13744</v>
      </c>
      <c r="B13749" s="3" t="str">
        <f>"00713073"</f>
        <v>00713073</v>
      </c>
    </row>
    <row r="13750" spans="1:2" x14ac:dyDescent="0.25">
      <c r="A13750" s="4">
        <v>13745</v>
      </c>
      <c r="B13750" s="3" t="str">
        <f>"00713083"</f>
        <v>00713083</v>
      </c>
    </row>
    <row r="13751" spans="1:2" x14ac:dyDescent="0.25">
      <c r="A13751" s="4">
        <v>13746</v>
      </c>
      <c r="B13751" s="3" t="str">
        <f>"00713197"</f>
        <v>00713197</v>
      </c>
    </row>
    <row r="13752" spans="1:2" x14ac:dyDescent="0.25">
      <c r="A13752" s="4">
        <v>13747</v>
      </c>
      <c r="B13752" s="3" t="str">
        <f>"20160703385"</f>
        <v>20160703385</v>
      </c>
    </row>
    <row r="13753" spans="1:2" x14ac:dyDescent="0.25">
      <c r="A13753" s="4">
        <v>13748</v>
      </c>
      <c r="B13753" s="3" t="str">
        <f>"20160705460"</f>
        <v>20160705460</v>
      </c>
    </row>
    <row r="13754" spans="1:2" x14ac:dyDescent="0.25">
      <c r="A13754" s="4">
        <v>13749</v>
      </c>
      <c r="B13754" s="3" t="str">
        <f>"20160707632"</f>
        <v>20160707632</v>
      </c>
    </row>
    <row r="13755" spans="1:2" x14ac:dyDescent="0.25">
      <c r="A13755" s="4">
        <v>13750</v>
      </c>
      <c r="B13755" s="3" t="str">
        <f>"20160707633"</f>
        <v>20160707633</v>
      </c>
    </row>
    <row r="13756" spans="1:2" x14ac:dyDescent="0.25">
      <c r="A13756" s="4">
        <v>13751</v>
      </c>
      <c r="B13756" s="3" t="str">
        <f>"20160707636"</f>
        <v>20160707636</v>
      </c>
    </row>
    <row r="13757" spans="1:2" x14ac:dyDescent="0.25">
      <c r="A13757" s="4">
        <v>13752</v>
      </c>
      <c r="B13757" s="3" t="str">
        <f>"20160708653"</f>
        <v>20160708653</v>
      </c>
    </row>
    <row r="13758" spans="1:2" x14ac:dyDescent="0.25">
      <c r="A13758" s="4">
        <v>13753</v>
      </c>
      <c r="B13758" s="3" t="str">
        <f>"20160711945"</f>
        <v>20160711945</v>
      </c>
    </row>
    <row r="13759" spans="1:2" x14ac:dyDescent="0.25">
      <c r="A13759" s="4">
        <v>13754</v>
      </c>
      <c r="B13759" s="3" t="str">
        <f>"200712000019"</f>
        <v>200712000019</v>
      </c>
    </row>
    <row r="13760" spans="1:2" x14ac:dyDescent="0.25">
      <c r="A13760" s="4">
        <v>13755</v>
      </c>
      <c r="B13760" s="3" t="str">
        <f>"200712000039"</f>
        <v>200712000039</v>
      </c>
    </row>
    <row r="13761" spans="1:2" x14ac:dyDescent="0.25">
      <c r="A13761" s="4">
        <v>13756</v>
      </c>
      <c r="B13761" s="3" t="str">
        <f>"200712000056"</f>
        <v>200712000056</v>
      </c>
    </row>
    <row r="13762" spans="1:2" x14ac:dyDescent="0.25">
      <c r="A13762" s="4">
        <v>13757</v>
      </c>
      <c r="B13762" s="3" t="str">
        <f>"200712000183"</f>
        <v>200712000183</v>
      </c>
    </row>
    <row r="13763" spans="1:2" x14ac:dyDescent="0.25">
      <c r="A13763" s="4">
        <v>13758</v>
      </c>
      <c r="B13763" s="3" t="str">
        <f>"200712000335"</f>
        <v>200712000335</v>
      </c>
    </row>
    <row r="13764" spans="1:2" x14ac:dyDescent="0.25">
      <c r="A13764" s="4">
        <v>13759</v>
      </c>
      <c r="B13764" s="3" t="str">
        <f>"200712000486"</f>
        <v>200712000486</v>
      </c>
    </row>
    <row r="13765" spans="1:2" x14ac:dyDescent="0.25">
      <c r="A13765" s="4">
        <v>13760</v>
      </c>
      <c r="B13765" s="3" t="str">
        <f>"200712000551"</f>
        <v>200712000551</v>
      </c>
    </row>
    <row r="13766" spans="1:2" x14ac:dyDescent="0.25">
      <c r="A13766" s="4">
        <v>13761</v>
      </c>
      <c r="B13766" s="3" t="str">
        <f>"200712000570"</f>
        <v>200712000570</v>
      </c>
    </row>
    <row r="13767" spans="1:2" x14ac:dyDescent="0.25">
      <c r="A13767" s="4">
        <v>13762</v>
      </c>
      <c r="B13767" s="3" t="str">
        <f>"200712000726"</f>
        <v>200712000726</v>
      </c>
    </row>
    <row r="13768" spans="1:2" x14ac:dyDescent="0.25">
      <c r="A13768" s="4">
        <v>13763</v>
      </c>
      <c r="B13768" s="3" t="str">
        <f>"200712001245"</f>
        <v>200712001245</v>
      </c>
    </row>
    <row r="13769" spans="1:2" x14ac:dyDescent="0.25">
      <c r="A13769" s="4">
        <v>13764</v>
      </c>
      <c r="B13769" s="3" t="str">
        <f>"200712001315"</f>
        <v>200712001315</v>
      </c>
    </row>
    <row r="13770" spans="1:2" x14ac:dyDescent="0.25">
      <c r="A13770" s="4">
        <v>13765</v>
      </c>
      <c r="B13770" s="3" t="str">
        <f>"200712001385"</f>
        <v>200712001385</v>
      </c>
    </row>
    <row r="13771" spans="1:2" x14ac:dyDescent="0.25">
      <c r="A13771" s="4">
        <v>13766</v>
      </c>
      <c r="B13771" s="3" t="str">
        <f>"200712001389"</f>
        <v>200712001389</v>
      </c>
    </row>
    <row r="13772" spans="1:2" x14ac:dyDescent="0.25">
      <c r="A13772" s="4">
        <v>13767</v>
      </c>
      <c r="B13772" s="3" t="str">
        <f>"200712001405"</f>
        <v>200712001405</v>
      </c>
    </row>
    <row r="13773" spans="1:2" x14ac:dyDescent="0.25">
      <c r="A13773" s="4">
        <v>13768</v>
      </c>
      <c r="B13773" s="3" t="str">
        <f>"200712001615"</f>
        <v>200712001615</v>
      </c>
    </row>
    <row r="13774" spans="1:2" x14ac:dyDescent="0.25">
      <c r="A13774" s="4">
        <v>13769</v>
      </c>
      <c r="B13774" s="3" t="str">
        <f>"200712002035"</f>
        <v>200712002035</v>
      </c>
    </row>
    <row r="13775" spans="1:2" x14ac:dyDescent="0.25">
      <c r="A13775" s="4">
        <v>13770</v>
      </c>
      <c r="B13775" s="3" t="str">
        <f>"200712002252"</f>
        <v>200712002252</v>
      </c>
    </row>
    <row r="13776" spans="1:2" x14ac:dyDescent="0.25">
      <c r="A13776" s="4">
        <v>13771</v>
      </c>
      <c r="B13776" s="3" t="str">
        <f>"200712002362"</f>
        <v>200712002362</v>
      </c>
    </row>
    <row r="13777" spans="1:2" x14ac:dyDescent="0.25">
      <c r="A13777" s="4">
        <v>13772</v>
      </c>
      <c r="B13777" s="3" t="str">
        <f>"200712002583"</f>
        <v>200712002583</v>
      </c>
    </row>
    <row r="13778" spans="1:2" x14ac:dyDescent="0.25">
      <c r="A13778" s="4">
        <v>13773</v>
      </c>
      <c r="B13778" s="3" t="str">
        <f>"200712002746"</f>
        <v>200712002746</v>
      </c>
    </row>
    <row r="13779" spans="1:2" x14ac:dyDescent="0.25">
      <c r="A13779" s="4">
        <v>13774</v>
      </c>
      <c r="B13779" s="3" t="str">
        <f>"200712002870"</f>
        <v>200712002870</v>
      </c>
    </row>
    <row r="13780" spans="1:2" x14ac:dyDescent="0.25">
      <c r="A13780" s="4">
        <v>13775</v>
      </c>
      <c r="B13780" s="3" t="str">
        <f>"200712002896"</f>
        <v>200712002896</v>
      </c>
    </row>
    <row r="13781" spans="1:2" x14ac:dyDescent="0.25">
      <c r="A13781" s="4">
        <v>13776</v>
      </c>
      <c r="B13781" s="3" t="str">
        <f>"200712002932"</f>
        <v>200712002932</v>
      </c>
    </row>
    <row r="13782" spans="1:2" x14ac:dyDescent="0.25">
      <c r="A13782" s="4">
        <v>13777</v>
      </c>
      <c r="B13782" s="3" t="str">
        <f>"200712002969"</f>
        <v>200712002969</v>
      </c>
    </row>
    <row r="13783" spans="1:2" x14ac:dyDescent="0.25">
      <c r="A13783" s="4">
        <v>13778</v>
      </c>
      <c r="B13783" s="3" t="str">
        <f>"200712003096"</f>
        <v>200712003096</v>
      </c>
    </row>
    <row r="13784" spans="1:2" x14ac:dyDescent="0.25">
      <c r="A13784" s="4">
        <v>13779</v>
      </c>
      <c r="B13784" s="3" t="str">
        <f>"200712003205"</f>
        <v>200712003205</v>
      </c>
    </row>
    <row r="13785" spans="1:2" x14ac:dyDescent="0.25">
      <c r="A13785" s="4">
        <v>13780</v>
      </c>
      <c r="B13785" s="3" t="str">
        <f>"200712003239"</f>
        <v>200712003239</v>
      </c>
    </row>
    <row r="13786" spans="1:2" x14ac:dyDescent="0.25">
      <c r="A13786" s="4">
        <v>13781</v>
      </c>
      <c r="B13786" s="3" t="str">
        <f>"200712003300"</f>
        <v>200712003300</v>
      </c>
    </row>
    <row r="13787" spans="1:2" x14ac:dyDescent="0.25">
      <c r="A13787" s="4">
        <v>13782</v>
      </c>
      <c r="B13787" s="3" t="str">
        <f>"200712003399"</f>
        <v>200712003399</v>
      </c>
    </row>
    <row r="13788" spans="1:2" x14ac:dyDescent="0.25">
      <c r="A13788" s="4">
        <v>13783</v>
      </c>
      <c r="B13788" s="3" t="str">
        <f>"200712003413"</f>
        <v>200712003413</v>
      </c>
    </row>
    <row r="13789" spans="1:2" x14ac:dyDescent="0.25">
      <c r="A13789" s="4">
        <v>13784</v>
      </c>
      <c r="B13789" s="3" t="str">
        <f>"200712003537"</f>
        <v>200712003537</v>
      </c>
    </row>
    <row r="13790" spans="1:2" x14ac:dyDescent="0.25">
      <c r="A13790" s="4">
        <v>13785</v>
      </c>
      <c r="B13790" s="3" t="str">
        <f>"200712003638"</f>
        <v>200712003638</v>
      </c>
    </row>
    <row r="13791" spans="1:2" x14ac:dyDescent="0.25">
      <c r="A13791" s="4">
        <v>13786</v>
      </c>
      <c r="B13791" s="3" t="str">
        <f>"200712003651"</f>
        <v>200712003651</v>
      </c>
    </row>
    <row r="13792" spans="1:2" x14ac:dyDescent="0.25">
      <c r="A13792" s="4">
        <v>13787</v>
      </c>
      <c r="B13792" s="3" t="str">
        <f>"200712003922"</f>
        <v>200712003922</v>
      </c>
    </row>
    <row r="13793" spans="1:2" x14ac:dyDescent="0.25">
      <c r="A13793" s="4">
        <v>13788</v>
      </c>
      <c r="B13793" s="3" t="str">
        <f>"200712004012"</f>
        <v>200712004012</v>
      </c>
    </row>
    <row r="13794" spans="1:2" x14ac:dyDescent="0.25">
      <c r="A13794" s="4">
        <v>13789</v>
      </c>
      <c r="B13794" s="3" t="str">
        <f>"200712004139"</f>
        <v>200712004139</v>
      </c>
    </row>
    <row r="13795" spans="1:2" x14ac:dyDescent="0.25">
      <c r="A13795" s="4">
        <v>13790</v>
      </c>
      <c r="B13795" s="3" t="str">
        <f>"200712004190"</f>
        <v>200712004190</v>
      </c>
    </row>
    <row r="13796" spans="1:2" x14ac:dyDescent="0.25">
      <c r="A13796" s="4">
        <v>13791</v>
      </c>
      <c r="B13796" s="3" t="str">
        <f>"200712004220"</f>
        <v>200712004220</v>
      </c>
    </row>
    <row r="13797" spans="1:2" x14ac:dyDescent="0.25">
      <c r="A13797" s="4">
        <v>13792</v>
      </c>
      <c r="B13797" s="3" t="str">
        <f>"200712004229"</f>
        <v>200712004229</v>
      </c>
    </row>
    <row r="13798" spans="1:2" x14ac:dyDescent="0.25">
      <c r="A13798" s="4">
        <v>13793</v>
      </c>
      <c r="B13798" s="3" t="str">
        <f>"200712004631"</f>
        <v>200712004631</v>
      </c>
    </row>
    <row r="13799" spans="1:2" x14ac:dyDescent="0.25">
      <c r="A13799" s="4">
        <v>13794</v>
      </c>
      <c r="B13799" s="3" t="str">
        <f>"200712004634"</f>
        <v>200712004634</v>
      </c>
    </row>
    <row r="13800" spans="1:2" x14ac:dyDescent="0.25">
      <c r="A13800" s="4">
        <v>13795</v>
      </c>
      <c r="B13800" s="3" t="str">
        <f>"200712004685"</f>
        <v>200712004685</v>
      </c>
    </row>
    <row r="13801" spans="1:2" x14ac:dyDescent="0.25">
      <c r="A13801" s="4">
        <v>13796</v>
      </c>
      <c r="B13801" s="3" t="str">
        <f>"200712004931"</f>
        <v>200712004931</v>
      </c>
    </row>
    <row r="13802" spans="1:2" x14ac:dyDescent="0.25">
      <c r="A13802" s="4">
        <v>13797</v>
      </c>
      <c r="B13802" s="3" t="str">
        <f>"200712005004"</f>
        <v>200712005004</v>
      </c>
    </row>
    <row r="13803" spans="1:2" x14ac:dyDescent="0.25">
      <c r="A13803" s="4">
        <v>13798</v>
      </c>
      <c r="B13803" s="3" t="str">
        <f>"200712005310"</f>
        <v>200712005310</v>
      </c>
    </row>
    <row r="13804" spans="1:2" x14ac:dyDescent="0.25">
      <c r="A13804" s="4">
        <v>13799</v>
      </c>
      <c r="B13804" s="3" t="str">
        <f>"200712005421"</f>
        <v>200712005421</v>
      </c>
    </row>
    <row r="13805" spans="1:2" x14ac:dyDescent="0.25">
      <c r="A13805" s="4">
        <v>13800</v>
      </c>
      <c r="B13805" s="3" t="str">
        <f>"200712005433"</f>
        <v>200712005433</v>
      </c>
    </row>
    <row r="13806" spans="1:2" x14ac:dyDescent="0.25">
      <c r="A13806" s="4">
        <v>13801</v>
      </c>
      <c r="B13806" s="3" t="str">
        <f>"200712005551"</f>
        <v>200712005551</v>
      </c>
    </row>
    <row r="13807" spans="1:2" x14ac:dyDescent="0.25">
      <c r="A13807" s="4">
        <v>13802</v>
      </c>
      <c r="B13807" s="3" t="str">
        <f>"200712005570"</f>
        <v>200712005570</v>
      </c>
    </row>
    <row r="13808" spans="1:2" x14ac:dyDescent="0.25">
      <c r="A13808" s="4">
        <v>13803</v>
      </c>
      <c r="B13808" s="3" t="str">
        <f>"200712005603"</f>
        <v>200712005603</v>
      </c>
    </row>
    <row r="13809" spans="1:2" x14ac:dyDescent="0.25">
      <c r="A13809" s="4">
        <v>13804</v>
      </c>
      <c r="B13809" s="3" t="str">
        <f>"200801000099"</f>
        <v>200801000099</v>
      </c>
    </row>
    <row r="13810" spans="1:2" x14ac:dyDescent="0.25">
      <c r="A13810" s="4">
        <v>13805</v>
      </c>
      <c r="B13810" s="3" t="str">
        <f>"200801000325"</f>
        <v>200801000325</v>
      </c>
    </row>
    <row r="13811" spans="1:2" x14ac:dyDescent="0.25">
      <c r="A13811" s="4">
        <v>13806</v>
      </c>
      <c r="B13811" s="3" t="str">
        <f>"200801000594"</f>
        <v>200801000594</v>
      </c>
    </row>
    <row r="13812" spans="1:2" x14ac:dyDescent="0.25">
      <c r="A13812" s="4">
        <v>13807</v>
      </c>
      <c r="B13812" s="3" t="str">
        <f>"200801001014"</f>
        <v>200801001014</v>
      </c>
    </row>
    <row r="13813" spans="1:2" x14ac:dyDescent="0.25">
      <c r="A13813" s="4">
        <v>13808</v>
      </c>
      <c r="B13813" s="3" t="str">
        <f>"200801001650"</f>
        <v>200801001650</v>
      </c>
    </row>
    <row r="13814" spans="1:2" x14ac:dyDescent="0.25">
      <c r="A13814" s="4">
        <v>13809</v>
      </c>
      <c r="B13814" s="3" t="str">
        <f>"200801001676"</f>
        <v>200801001676</v>
      </c>
    </row>
    <row r="13815" spans="1:2" x14ac:dyDescent="0.25">
      <c r="A13815" s="4">
        <v>13810</v>
      </c>
      <c r="B13815" s="3" t="str">
        <f>"200801001826"</f>
        <v>200801001826</v>
      </c>
    </row>
    <row r="13816" spans="1:2" x14ac:dyDescent="0.25">
      <c r="A13816" s="4">
        <v>13811</v>
      </c>
      <c r="B13816" s="3" t="str">
        <f>"200801001905"</f>
        <v>200801001905</v>
      </c>
    </row>
    <row r="13817" spans="1:2" x14ac:dyDescent="0.25">
      <c r="A13817" s="4">
        <v>13812</v>
      </c>
      <c r="B13817" s="3" t="str">
        <f>"200801002170"</f>
        <v>200801002170</v>
      </c>
    </row>
    <row r="13818" spans="1:2" x14ac:dyDescent="0.25">
      <c r="A13818" s="4">
        <v>13813</v>
      </c>
      <c r="B13818" s="3" t="str">
        <f>"200801002253"</f>
        <v>200801002253</v>
      </c>
    </row>
    <row r="13819" spans="1:2" x14ac:dyDescent="0.25">
      <c r="A13819" s="4">
        <v>13814</v>
      </c>
      <c r="B13819" s="3" t="str">
        <f>"200801002267"</f>
        <v>200801002267</v>
      </c>
    </row>
    <row r="13820" spans="1:2" x14ac:dyDescent="0.25">
      <c r="A13820" s="4">
        <v>13815</v>
      </c>
      <c r="B13820" s="3" t="str">
        <f>"200801002419"</f>
        <v>200801002419</v>
      </c>
    </row>
    <row r="13821" spans="1:2" x14ac:dyDescent="0.25">
      <c r="A13821" s="4">
        <v>13816</v>
      </c>
      <c r="B13821" s="3" t="str">
        <f>"200801002454"</f>
        <v>200801002454</v>
      </c>
    </row>
    <row r="13822" spans="1:2" x14ac:dyDescent="0.25">
      <c r="A13822" s="4">
        <v>13817</v>
      </c>
      <c r="B13822" s="3" t="str">
        <f>"200801002719"</f>
        <v>200801002719</v>
      </c>
    </row>
    <row r="13823" spans="1:2" x14ac:dyDescent="0.25">
      <c r="A13823" s="4">
        <v>13818</v>
      </c>
      <c r="B13823" s="3" t="str">
        <f>"200801002828"</f>
        <v>200801002828</v>
      </c>
    </row>
    <row r="13824" spans="1:2" x14ac:dyDescent="0.25">
      <c r="A13824" s="4">
        <v>13819</v>
      </c>
      <c r="B13824" s="3" t="str">
        <f>"200801002838"</f>
        <v>200801002838</v>
      </c>
    </row>
    <row r="13825" spans="1:2" x14ac:dyDescent="0.25">
      <c r="A13825" s="4">
        <v>13820</v>
      </c>
      <c r="B13825" s="3" t="str">
        <f>"200801002866"</f>
        <v>200801002866</v>
      </c>
    </row>
    <row r="13826" spans="1:2" x14ac:dyDescent="0.25">
      <c r="A13826" s="4">
        <v>13821</v>
      </c>
      <c r="B13826" s="3" t="str">
        <f>"200801002948"</f>
        <v>200801002948</v>
      </c>
    </row>
    <row r="13827" spans="1:2" x14ac:dyDescent="0.25">
      <c r="A13827" s="4">
        <v>13822</v>
      </c>
      <c r="B13827" s="3" t="str">
        <f>"200801002969"</f>
        <v>200801002969</v>
      </c>
    </row>
    <row r="13828" spans="1:2" x14ac:dyDescent="0.25">
      <c r="A13828" s="4">
        <v>13823</v>
      </c>
      <c r="B13828" s="3" t="str">
        <f>"200801003243"</f>
        <v>200801003243</v>
      </c>
    </row>
    <row r="13829" spans="1:2" x14ac:dyDescent="0.25">
      <c r="A13829" s="4">
        <v>13824</v>
      </c>
      <c r="B13829" s="3" t="str">
        <f>"200801003530"</f>
        <v>200801003530</v>
      </c>
    </row>
    <row r="13830" spans="1:2" x14ac:dyDescent="0.25">
      <c r="A13830" s="4">
        <v>13825</v>
      </c>
      <c r="B13830" s="3" t="str">
        <f>"200801003765"</f>
        <v>200801003765</v>
      </c>
    </row>
    <row r="13831" spans="1:2" x14ac:dyDescent="0.25">
      <c r="A13831" s="4">
        <v>13826</v>
      </c>
      <c r="B13831" s="3" t="str">
        <f>"200801004049"</f>
        <v>200801004049</v>
      </c>
    </row>
    <row r="13832" spans="1:2" x14ac:dyDescent="0.25">
      <c r="A13832" s="4">
        <v>13827</v>
      </c>
      <c r="B13832" s="3" t="str">
        <f>"200801004237"</f>
        <v>200801004237</v>
      </c>
    </row>
    <row r="13833" spans="1:2" x14ac:dyDescent="0.25">
      <c r="A13833" s="4">
        <v>13828</v>
      </c>
      <c r="B13833" s="3" t="str">
        <f>"200801004337"</f>
        <v>200801004337</v>
      </c>
    </row>
    <row r="13834" spans="1:2" x14ac:dyDescent="0.25">
      <c r="A13834" s="4">
        <v>13829</v>
      </c>
      <c r="B13834" s="3" t="str">
        <f>"200801004405"</f>
        <v>200801004405</v>
      </c>
    </row>
    <row r="13835" spans="1:2" x14ac:dyDescent="0.25">
      <c r="A13835" s="4">
        <v>13830</v>
      </c>
      <c r="B13835" s="3" t="str">
        <f>"200801004559"</f>
        <v>200801004559</v>
      </c>
    </row>
    <row r="13836" spans="1:2" x14ac:dyDescent="0.25">
      <c r="A13836" s="4">
        <v>13831</v>
      </c>
      <c r="B13836" s="3" t="str">
        <f>"200801005058"</f>
        <v>200801005058</v>
      </c>
    </row>
    <row r="13837" spans="1:2" x14ac:dyDescent="0.25">
      <c r="A13837" s="4">
        <v>13832</v>
      </c>
      <c r="B13837" s="3" t="str">
        <f>"200801005081"</f>
        <v>200801005081</v>
      </c>
    </row>
    <row r="13838" spans="1:2" x14ac:dyDescent="0.25">
      <c r="A13838" s="4">
        <v>13833</v>
      </c>
      <c r="B13838" s="3" t="str">
        <f>"200801005452"</f>
        <v>200801005452</v>
      </c>
    </row>
    <row r="13839" spans="1:2" x14ac:dyDescent="0.25">
      <c r="A13839" s="4">
        <v>13834</v>
      </c>
      <c r="B13839" s="3" t="str">
        <f>"200801005501"</f>
        <v>200801005501</v>
      </c>
    </row>
    <row r="13840" spans="1:2" x14ac:dyDescent="0.25">
      <c r="A13840" s="4">
        <v>13835</v>
      </c>
      <c r="B13840" s="3" t="str">
        <f>"200801005627"</f>
        <v>200801005627</v>
      </c>
    </row>
    <row r="13841" spans="1:2" x14ac:dyDescent="0.25">
      <c r="A13841" s="4">
        <v>13836</v>
      </c>
      <c r="B13841" s="3" t="str">
        <f>"200801005674"</f>
        <v>200801005674</v>
      </c>
    </row>
    <row r="13842" spans="1:2" x14ac:dyDescent="0.25">
      <c r="A13842" s="4">
        <v>13837</v>
      </c>
      <c r="B13842" s="3" t="str">
        <f>"200801005823"</f>
        <v>200801005823</v>
      </c>
    </row>
    <row r="13843" spans="1:2" x14ac:dyDescent="0.25">
      <c r="A13843" s="4">
        <v>13838</v>
      </c>
      <c r="B13843" s="3" t="str">
        <f>"200801005844"</f>
        <v>200801005844</v>
      </c>
    </row>
    <row r="13844" spans="1:2" x14ac:dyDescent="0.25">
      <c r="A13844" s="4">
        <v>13839</v>
      </c>
      <c r="B13844" s="3" t="str">
        <f>"200801005983"</f>
        <v>200801005983</v>
      </c>
    </row>
    <row r="13845" spans="1:2" x14ac:dyDescent="0.25">
      <c r="A13845" s="4">
        <v>13840</v>
      </c>
      <c r="B13845" s="3" t="str">
        <f>"200801006084"</f>
        <v>200801006084</v>
      </c>
    </row>
    <row r="13846" spans="1:2" x14ac:dyDescent="0.25">
      <c r="A13846" s="4">
        <v>13841</v>
      </c>
      <c r="B13846" s="3" t="str">
        <f>"200801006292"</f>
        <v>200801006292</v>
      </c>
    </row>
    <row r="13847" spans="1:2" x14ac:dyDescent="0.25">
      <c r="A13847" s="4">
        <v>13842</v>
      </c>
      <c r="B13847" s="3" t="str">
        <f>"200801006466"</f>
        <v>200801006466</v>
      </c>
    </row>
    <row r="13848" spans="1:2" x14ac:dyDescent="0.25">
      <c r="A13848" s="4">
        <v>13843</v>
      </c>
      <c r="B13848" s="3" t="str">
        <f>"200801006607"</f>
        <v>200801006607</v>
      </c>
    </row>
    <row r="13849" spans="1:2" x14ac:dyDescent="0.25">
      <c r="A13849" s="4">
        <v>13844</v>
      </c>
      <c r="B13849" s="3" t="str">
        <f>"200801006638"</f>
        <v>200801006638</v>
      </c>
    </row>
    <row r="13850" spans="1:2" x14ac:dyDescent="0.25">
      <c r="A13850" s="4">
        <v>13845</v>
      </c>
      <c r="B13850" s="3" t="str">
        <f>"200801006649"</f>
        <v>200801006649</v>
      </c>
    </row>
    <row r="13851" spans="1:2" x14ac:dyDescent="0.25">
      <c r="A13851" s="4">
        <v>13846</v>
      </c>
      <c r="B13851" s="3" t="str">
        <f>"200801006682"</f>
        <v>200801006682</v>
      </c>
    </row>
    <row r="13852" spans="1:2" x14ac:dyDescent="0.25">
      <c r="A13852" s="4">
        <v>13847</v>
      </c>
      <c r="B13852" s="3" t="str">
        <f>"200801006894"</f>
        <v>200801006894</v>
      </c>
    </row>
    <row r="13853" spans="1:2" x14ac:dyDescent="0.25">
      <c r="A13853" s="4">
        <v>13848</v>
      </c>
      <c r="B13853" s="3" t="str">
        <f>"200801007030"</f>
        <v>200801007030</v>
      </c>
    </row>
    <row r="13854" spans="1:2" x14ac:dyDescent="0.25">
      <c r="A13854" s="4">
        <v>13849</v>
      </c>
      <c r="B13854" s="3" t="str">
        <f>"200801007415"</f>
        <v>200801007415</v>
      </c>
    </row>
    <row r="13855" spans="1:2" x14ac:dyDescent="0.25">
      <c r="A13855" s="4">
        <v>13850</v>
      </c>
      <c r="B13855" s="3" t="str">
        <f>"200801007641"</f>
        <v>200801007641</v>
      </c>
    </row>
    <row r="13856" spans="1:2" x14ac:dyDescent="0.25">
      <c r="A13856" s="4">
        <v>13851</v>
      </c>
      <c r="B13856" s="3" t="str">
        <f>"200801007887"</f>
        <v>200801007887</v>
      </c>
    </row>
    <row r="13857" spans="1:2" x14ac:dyDescent="0.25">
      <c r="A13857" s="4">
        <v>13852</v>
      </c>
      <c r="B13857" s="3" t="str">
        <f>"200801008263"</f>
        <v>200801008263</v>
      </c>
    </row>
    <row r="13858" spans="1:2" x14ac:dyDescent="0.25">
      <c r="A13858" s="4">
        <v>13853</v>
      </c>
      <c r="B13858" s="3" t="str">
        <f>"200801008280"</f>
        <v>200801008280</v>
      </c>
    </row>
    <row r="13859" spans="1:2" x14ac:dyDescent="0.25">
      <c r="A13859" s="4">
        <v>13854</v>
      </c>
      <c r="B13859" s="3" t="str">
        <f>"200801008458"</f>
        <v>200801008458</v>
      </c>
    </row>
    <row r="13860" spans="1:2" x14ac:dyDescent="0.25">
      <c r="A13860" s="4">
        <v>13855</v>
      </c>
      <c r="B13860" s="3" t="str">
        <f>"200801008918"</f>
        <v>200801008918</v>
      </c>
    </row>
    <row r="13861" spans="1:2" x14ac:dyDescent="0.25">
      <c r="A13861" s="4">
        <v>13856</v>
      </c>
      <c r="B13861" s="3" t="str">
        <f>"200801009009"</f>
        <v>200801009009</v>
      </c>
    </row>
    <row r="13862" spans="1:2" x14ac:dyDescent="0.25">
      <c r="A13862" s="4">
        <v>13857</v>
      </c>
      <c r="B13862" s="3" t="str">
        <f>"200801009079"</f>
        <v>200801009079</v>
      </c>
    </row>
    <row r="13863" spans="1:2" x14ac:dyDescent="0.25">
      <c r="A13863" s="4">
        <v>13858</v>
      </c>
      <c r="B13863" s="3" t="str">
        <f>"200801009192"</f>
        <v>200801009192</v>
      </c>
    </row>
    <row r="13864" spans="1:2" x14ac:dyDescent="0.25">
      <c r="A13864" s="4">
        <v>13859</v>
      </c>
      <c r="B13864" s="3" t="str">
        <f>"200801009252"</f>
        <v>200801009252</v>
      </c>
    </row>
    <row r="13865" spans="1:2" x14ac:dyDescent="0.25">
      <c r="A13865" s="4">
        <v>13860</v>
      </c>
      <c r="B13865" s="3" t="str">
        <f>"200801010296"</f>
        <v>200801010296</v>
      </c>
    </row>
    <row r="13866" spans="1:2" x14ac:dyDescent="0.25">
      <c r="A13866" s="4">
        <v>13861</v>
      </c>
      <c r="B13866" s="3" t="str">
        <f>"200801010327"</f>
        <v>200801010327</v>
      </c>
    </row>
    <row r="13867" spans="1:2" x14ac:dyDescent="0.25">
      <c r="A13867" s="4">
        <v>13862</v>
      </c>
      <c r="B13867" s="3" t="str">
        <f>"200801010375"</f>
        <v>200801010375</v>
      </c>
    </row>
    <row r="13868" spans="1:2" x14ac:dyDescent="0.25">
      <c r="A13868" s="4">
        <v>13863</v>
      </c>
      <c r="B13868" s="3" t="str">
        <f>"200801011249"</f>
        <v>200801011249</v>
      </c>
    </row>
    <row r="13869" spans="1:2" x14ac:dyDescent="0.25">
      <c r="A13869" s="4">
        <v>13864</v>
      </c>
      <c r="B13869" s="3" t="str">
        <f>"200801011305"</f>
        <v>200801011305</v>
      </c>
    </row>
    <row r="13870" spans="1:2" x14ac:dyDescent="0.25">
      <c r="A13870" s="4">
        <v>13865</v>
      </c>
      <c r="B13870" s="3" t="str">
        <f>"200801011402"</f>
        <v>200801011402</v>
      </c>
    </row>
    <row r="13871" spans="1:2" x14ac:dyDescent="0.25">
      <c r="A13871" s="4">
        <v>13866</v>
      </c>
      <c r="B13871" s="3" t="str">
        <f>"200801011523"</f>
        <v>200801011523</v>
      </c>
    </row>
    <row r="13872" spans="1:2" x14ac:dyDescent="0.25">
      <c r="A13872" s="4">
        <v>13867</v>
      </c>
      <c r="B13872" s="3" t="str">
        <f>"200801011563"</f>
        <v>200801011563</v>
      </c>
    </row>
    <row r="13873" spans="1:2" x14ac:dyDescent="0.25">
      <c r="A13873" s="4">
        <v>13868</v>
      </c>
      <c r="B13873" s="3" t="str">
        <f>"200801011569"</f>
        <v>200801011569</v>
      </c>
    </row>
    <row r="13874" spans="1:2" x14ac:dyDescent="0.25">
      <c r="A13874" s="4">
        <v>13869</v>
      </c>
      <c r="B13874" s="3" t="str">
        <f>"200801011859"</f>
        <v>200801011859</v>
      </c>
    </row>
    <row r="13875" spans="1:2" x14ac:dyDescent="0.25">
      <c r="A13875" s="4">
        <v>13870</v>
      </c>
      <c r="B13875" s="3" t="str">
        <f>"200802000069"</f>
        <v>200802000069</v>
      </c>
    </row>
    <row r="13876" spans="1:2" x14ac:dyDescent="0.25">
      <c r="A13876" s="4">
        <v>13871</v>
      </c>
      <c r="B13876" s="3" t="str">
        <f>"200802000245"</f>
        <v>200802000245</v>
      </c>
    </row>
    <row r="13877" spans="1:2" x14ac:dyDescent="0.25">
      <c r="A13877" s="4">
        <v>13872</v>
      </c>
      <c r="B13877" s="3" t="str">
        <f>"200802000292"</f>
        <v>200802000292</v>
      </c>
    </row>
    <row r="13878" spans="1:2" x14ac:dyDescent="0.25">
      <c r="A13878" s="4">
        <v>13873</v>
      </c>
      <c r="B13878" s="3" t="str">
        <f>"200802000448"</f>
        <v>200802000448</v>
      </c>
    </row>
    <row r="13879" spans="1:2" x14ac:dyDescent="0.25">
      <c r="A13879" s="4">
        <v>13874</v>
      </c>
      <c r="B13879" s="3" t="str">
        <f>"200802000545"</f>
        <v>200802000545</v>
      </c>
    </row>
    <row r="13880" spans="1:2" x14ac:dyDescent="0.25">
      <c r="A13880" s="4">
        <v>13875</v>
      </c>
      <c r="B13880" s="3" t="str">
        <f>"200802000599"</f>
        <v>200802000599</v>
      </c>
    </row>
    <row r="13881" spans="1:2" x14ac:dyDescent="0.25">
      <c r="A13881" s="4">
        <v>13876</v>
      </c>
      <c r="B13881" s="3" t="str">
        <f>"200802000672"</f>
        <v>200802000672</v>
      </c>
    </row>
    <row r="13882" spans="1:2" x14ac:dyDescent="0.25">
      <c r="A13882" s="4">
        <v>13877</v>
      </c>
      <c r="B13882" s="3" t="str">
        <f>"200802000700"</f>
        <v>200802000700</v>
      </c>
    </row>
    <row r="13883" spans="1:2" x14ac:dyDescent="0.25">
      <c r="A13883" s="4">
        <v>13878</v>
      </c>
      <c r="B13883" s="3" t="str">
        <f>"200802000705"</f>
        <v>200802000705</v>
      </c>
    </row>
    <row r="13884" spans="1:2" x14ac:dyDescent="0.25">
      <c r="A13884" s="4">
        <v>13879</v>
      </c>
      <c r="B13884" s="3" t="str">
        <f>"200802000747"</f>
        <v>200802000747</v>
      </c>
    </row>
    <row r="13885" spans="1:2" x14ac:dyDescent="0.25">
      <c r="A13885" s="4">
        <v>13880</v>
      </c>
      <c r="B13885" s="3" t="str">
        <f>"200802001170"</f>
        <v>200802001170</v>
      </c>
    </row>
    <row r="13886" spans="1:2" x14ac:dyDescent="0.25">
      <c r="A13886" s="4">
        <v>13881</v>
      </c>
      <c r="B13886" s="3" t="str">
        <f>"200802001331"</f>
        <v>200802001331</v>
      </c>
    </row>
    <row r="13887" spans="1:2" x14ac:dyDescent="0.25">
      <c r="A13887" s="4">
        <v>13882</v>
      </c>
      <c r="B13887" s="3" t="str">
        <f>"200802001413"</f>
        <v>200802001413</v>
      </c>
    </row>
    <row r="13888" spans="1:2" x14ac:dyDescent="0.25">
      <c r="A13888" s="4">
        <v>13883</v>
      </c>
      <c r="B13888" s="3" t="str">
        <f>"200802001695"</f>
        <v>200802001695</v>
      </c>
    </row>
    <row r="13889" spans="1:2" x14ac:dyDescent="0.25">
      <c r="A13889" s="4">
        <v>13884</v>
      </c>
      <c r="B13889" s="3" t="str">
        <f>"200802001736"</f>
        <v>200802001736</v>
      </c>
    </row>
    <row r="13890" spans="1:2" x14ac:dyDescent="0.25">
      <c r="A13890" s="4">
        <v>13885</v>
      </c>
      <c r="B13890" s="3" t="str">
        <f>"200802001762"</f>
        <v>200802001762</v>
      </c>
    </row>
    <row r="13891" spans="1:2" x14ac:dyDescent="0.25">
      <c r="A13891" s="4">
        <v>13886</v>
      </c>
      <c r="B13891" s="3" t="str">
        <f>"200802001872"</f>
        <v>200802001872</v>
      </c>
    </row>
    <row r="13892" spans="1:2" x14ac:dyDescent="0.25">
      <c r="A13892" s="4">
        <v>13887</v>
      </c>
      <c r="B13892" s="3" t="str">
        <f>"200802001909"</f>
        <v>200802001909</v>
      </c>
    </row>
    <row r="13893" spans="1:2" x14ac:dyDescent="0.25">
      <c r="A13893" s="4">
        <v>13888</v>
      </c>
      <c r="B13893" s="3" t="str">
        <f>"200802002175"</f>
        <v>200802002175</v>
      </c>
    </row>
    <row r="13894" spans="1:2" x14ac:dyDescent="0.25">
      <c r="A13894" s="4">
        <v>13889</v>
      </c>
      <c r="B13894" s="3" t="str">
        <f>"200802002479"</f>
        <v>200802002479</v>
      </c>
    </row>
    <row r="13895" spans="1:2" x14ac:dyDescent="0.25">
      <c r="A13895" s="4">
        <v>13890</v>
      </c>
      <c r="B13895" s="3" t="str">
        <f>"200802002589"</f>
        <v>200802002589</v>
      </c>
    </row>
    <row r="13896" spans="1:2" x14ac:dyDescent="0.25">
      <c r="A13896" s="4">
        <v>13891</v>
      </c>
      <c r="B13896" s="3" t="str">
        <f>"200802002673"</f>
        <v>200802002673</v>
      </c>
    </row>
    <row r="13897" spans="1:2" x14ac:dyDescent="0.25">
      <c r="A13897" s="4">
        <v>13892</v>
      </c>
      <c r="B13897" s="3" t="str">
        <f>"200802002774"</f>
        <v>200802002774</v>
      </c>
    </row>
    <row r="13898" spans="1:2" x14ac:dyDescent="0.25">
      <c r="A13898" s="4">
        <v>13893</v>
      </c>
      <c r="B13898" s="3" t="str">
        <f>"200802002928"</f>
        <v>200802002928</v>
      </c>
    </row>
    <row r="13899" spans="1:2" x14ac:dyDescent="0.25">
      <c r="A13899" s="4">
        <v>13894</v>
      </c>
      <c r="B13899" s="3" t="str">
        <f>"200802003594"</f>
        <v>200802003594</v>
      </c>
    </row>
    <row r="13900" spans="1:2" x14ac:dyDescent="0.25">
      <c r="A13900" s="4">
        <v>13895</v>
      </c>
      <c r="B13900" s="3" t="str">
        <f>"200802003911"</f>
        <v>200802003911</v>
      </c>
    </row>
    <row r="13901" spans="1:2" x14ac:dyDescent="0.25">
      <c r="A13901" s="4">
        <v>13896</v>
      </c>
      <c r="B13901" s="3" t="str">
        <f>"200802003965"</f>
        <v>200802003965</v>
      </c>
    </row>
    <row r="13902" spans="1:2" x14ac:dyDescent="0.25">
      <c r="A13902" s="4">
        <v>13897</v>
      </c>
      <c r="B13902" s="3" t="str">
        <f>"200802004009"</f>
        <v>200802004009</v>
      </c>
    </row>
    <row r="13903" spans="1:2" x14ac:dyDescent="0.25">
      <c r="A13903" s="4">
        <v>13898</v>
      </c>
      <c r="B13903" s="3" t="str">
        <f>"200802004329"</f>
        <v>200802004329</v>
      </c>
    </row>
    <row r="13904" spans="1:2" x14ac:dyDescent="0.25">
      <c r="A13904" s="4">
        <v>13899</v>
      </c>
      <c r="B13904" s="3" t="str">
        <f>"200802004343"</f>
        <v>200802004343</v>
      </c>
    </row>
    <row r="13905" spans="1:2" x14ac:dyDescent="0.25">
      <c r="A13905" s="4">
        <v>13900</v>
      </c>
      <c r="B13905" s="3" t="str">
        <f>"200802004369"</f>
        <v>200802004369</v>
      </c>
    </row>
    <row r="13906" spans="1:2" x14ac:dyDescent="0.25">
      <c r="A13906" s="4">
        <v>13901</v>
      </c>
      <c r="B13906" s="3" t="str">
        <f>"200802004687"</f>
        <v>200802004687</v>
      </c>
    </row>
    <row r="13907" spans="1:2" x14ac:dyDescent="0.25">
      <c r="A13907" s="4">
        <v>13902</v>
      </c>
      <c r="B13907" s="3" t="str">
        <f>"200802004764"</f>
        <v>200802004764</v>
      </c>
    </row>
    <row r="13908" spans="1:2" x14ac:dyDescent="0.25">
      <c r="A13908" s="4">
        <v>13903</v>
      </c>
      <c r="B13908" s="3" t="str">
        <f>"200802004836"</f>
        <v>200802004836</v>
      </c>
    </row>
    <row r="13909" spans="1:2" x14ac:dyDescent="0.25">
      <c r="A13909" s="4">
        <v>13904</v>
      </c>
      <c r="B13909" s="3" t="str">
        <f>"200802005410"</f>
        <v>200802005410</v>
      </c>
    </row>
    <row r="13910" spans="1:2" x14ac:dyDescent="0.25">
      <c r="A13910" s="4">
        <v>13905</v>
      </c>
      <c r="B13910" s="3" t="str">
        <f>"200802005502"</f>
        <v>200802005502</v>
      </c>
    </row>
    <row r="13911" spans="1:2" x14ac:dyDescent="0.25">
      <c r="A13911" s="4">
        <v>13906</v>
      </c>
      <c r="B13911" s="3" t="str">
        <f>"200802006167"</f>
        <v>200802006167</v>
      </c>
    </row>
    <row r="13912" spans="1:2" x14ac:dyDescent="0.25">
      <c r="A13912" s="4">
        <v>13907</v>
      </c>
      <c r="B13912" s="3" t="str">
        <f>"200802006731"</f>
        <v>200802006731</v>
      </c>
    </row>
    <row r="13913" spans="1:2" x14ac:dyDescent="0.25">
      <c r="A13913" s="4">
        <v>13908</v>
      </c>
      <c r="B13913" s="3" t="str">
        <f>"200802006776"</f>
        <v>200802006776</v>
      </c>
    </row>
    <row r="13914" spans="1:2" x14ac:dyDescent="0.25">
      <c r="A13914" s="4">
        <v>13909</v>
      </c>
      <c r="B13914" s="3" t="str">
        <f>"200802006979"</f>
        <v>200802006979</v>
      </c>
    </row>
    <row r="13915" spans="1:2" x14ac:dyDescent="0.25">
      <c r="A13915" s="4">
        <v>13910</v>
      </c>
      <c r="B13915" s="3" t="str">
        <f>"200802007017"</f>
        <v>200802007017</v>
      </c>
    </row>
    <row r="13916" spans="1:2" x14ac:dyDescent="0.25">
      <c r="A13916" s="4">
        <v>13911</v>
      </c>
      <c r="B13916" s="3" t="str">
        <f>"200802007067"</f>
        <v>200802007067</v>
      </c>
    </row>
    <row r="13917" spans="1:2" x14ac:dyDescent="0.25">
      <c r="A13917" s="4">
        <v>13912</v>
      </c>
      <c r="B13917" s="3" t="str">
        <f>"200802007226"</f>
        <v>200802007226</v>
      </c>
    </row>
    <row r="13918" spans="1:2" x14ac:dyDescent="0.25">
      <c r="A13918" s="4">
        <v>13913</v>
      </c>
      <c r="B13918" s="3" t="str">
        <f>"200802007383"</f>
        <v>200802007383</v>
      </c>
    </row>
    <row r="13919" spans="1:2" x14ac:dyDescent="0.25">
      <c r="A13919" s="4">
        <v>13914</v>
      </c>
      <c r="B13919" s="3" t="str">
        <f>"200802007466"</f>
        <v>200802007466</v>
      </c>
    </row>
    <row r="13920" spans="1:2" x14ac:dyDescent="0.25">
      <c r="A13920" s="4">
        <v>13915</v>
      </c>
      <c r="B13920" s="3" t="str">
        <f>"200802007523"</f>
        <v>200802007523</v>
      </c>
    </row>
    <row r="13921" spans="1:2" x14ac:dyDescent="0.25">
      <c r="A13921" s="4">
        <v>13916</v>
      </c>
      <c r="B13921" s="3" t="str">
        <f>"200802007614"</f>
        <v>200802007614</v>
      </c>
    </row>
    <row r="13922" spans="1:2" x14ac:dyDescent="0.25">
      <c r="A13922" s="4">
        <v>13917</v>
      </c>
      <c r="B13922" s="3" t="str">
        <f>"200802007670"</f>
        <v>200802007670</v>
      </c>
    </row>
    <row r="13923" spans="1:2" x14ac:dyDescent="0.25">
      <c r="A13923" s="4">
        <v>13918</v>
      </c>
      <c r="B13923" s="3" t="str">
        <f>"200802007943"</f>
        <v>200802007943</v>
      </c>
    </row>
    <row r="13924" spans="1:2" x14ac:dyDescent="0.25">
      <c r="A13924" s="4">
        <v>13919</v>
      </c>
      <c r="B13924" s="3" t="str">
        <f>"200802007955"</f>
        <v>200802007955</v>
      </c>
    </row>
    <row r="13925" spans="1:2" x14ac:dyDescent="0.25">
      <c r="A13925" s="4">
        <v>13920</v>
      </c>
      <c r="B13925" s="3" t="str">
        <f>"200802008268"</f>
        <v>200802008268</v>
      </c>
    </row>
    <row r="13926" spans="1:2" x14ac:dyDescent="0.25">
      <c r="A13926" s="4">
        <v>13921</v>
      </c>
      <c r="B13926" s="3" t="str">
        <f>"200802008451"</f>
        <v>200802008451</v>
      </c>
    </row>
    <row r="13927" spans="1:2" x14ac:dyDescent="0.25">
      <c r="A13927" s="4">
        <v>13922</v>
      </c>
      <c r="B13927" s="3" t="str">
        <f>"200802008523"</f>
        <v>200802008523</v>
      </c>
    </row>
    <row r="13928" spans="1:2" x14ac:dyDescent="0.25">
      <c r="A13928" s="4">
        <v>13923</v>
      </c>
      <c r="B13928" s="3" t="str">
        <f>"200802008727"</f>
        <v>200802008727</v>
      </c>
    </row>
    <row r="13929" spans="1:2" x14ac:dyDescent="0.25">
      <c r="A13929" s="4">
        <v>13924</v>
      </c>
      <c r="B13929" s="3" t="str">
        <f>"200802008857"</f>
        <v>200802008857</v>
      </c>
    </row>
    <row r="13930" spans="1:2" x14ac:dyDescent="0.25">
      <c r="A13930" s="4">
        <v>13925</v>
      </c>
      <c r="B13930" s="3" t="str">
        <f>"200802008876"</f>
        <v>200802008876</v>
      </c>
    </row>
    <row r="13931" spans="1:2" x14ac:dyDescent="0.25">
      <c r="A13931" s="4">
        <v>13926</v>
      </c>
      <c r="B13931" s="3" t="str">
        <f>"200802009089"</f>
        <v>200802009089</v>
      </c>
    </row>
    <row r="13932" spans="1:2" x14ac:dyDescent="0.25">
      <c r="A13932" s="4">
        <v>13927</v>
      </c>
      <c r="B13932" s="3" t="str">
        <f>"200802009354"</f>
        <v>200802009354</v>
      </c>
    </row>
    <row r="13933" spans="1:2" x14ac:dyDescent="0.25">
      <c r="A13933" s="4">
        <v>13928</v>
      </c>
      <c r="B13933" s="3" t="str">
        <f>"200802009391"</f>
        <v>200802009391</v>
      </c>
    </row>
    <row r="13934" spans="1:2" x14ac:dyDescent="0.25">
      <c r="A13934" s="4">
        <v>13929</v>
      </c>
      <c r="B13934" s="3" t="str">
        <f>"200802009464"</f>
        <v>200802009464</v>
      </c>
    </row>
    <row r="13935" spans="1:2" x14ac:dyDescent="0.25">
      <c r="A13935" s="4">
        <v>13930</v>
      </c>
      <c r="B13935" s="3" t="str">
        <f>"200802009517"</f>
        <v>200802009517</v>
      </c>
    </row>
    <row r="13936" spans="1:2" x14ac:dyDescent="0.25">
      <c r="A13936" s="4">
        <v>13931</v>
      </c>
      <c r="B13936" s="3" t="str">
        <f>"200802009570"</f>
        <v>200802009570</v>
      </c>
    </row>
    <row r="13937" spans="1:2" x14ac:dyDescent="0.25">
      <c r="A13937" s="4">
        <v>13932</v>
      </c>
      <c r="B13937" s="3" t="str">
        <f>"200802009767"</f>
        <v>200802009767</v>
      </c>
    </row>
    <row r="13938" spans="1:2" x14ac:dyDescent="0.25">
      <c r="A13938" s="4">
        <v>13933</v>
      </c>
      <c r="B13938" s="3" t="str">
        <f>"200802009841"</f>
        <v>200802009841</v>
      </c>
    </row>
    <row r="13939" spans="1:2" x14ac:dyDescent="0.25">
      <c r="A13939" s="4">
        <v>13934</v>
      </c>
      <c r="B13939" s="3" t="str">
        <f>"200802010005"</f>
        <v>200802010005</v>
      </c>
    </row>
    <row r="13940" spans="1:2" x14ac:dyDescent="0.25">
      <c r="A13940" s="4">
        <v>13935</v>
      </c>
      <c r="B13940" s="3" t="str">
        <f>"200802010006"</f>
        <v>200802010006</v>
      </c>
    </row>
    <row r="13941" spans="1:2" x14ac:dyDescent="0.25">
      <c r="A13941" s="4">
        <v>13936</v>
      </c>
      <c r="B13941" s="3" t="str">
        <f>"200802010058"</f>
        <v>200802010058</v>
      </c>
    </row>
    <row r="13942" spans="1:2" x14ac:dyDescent="0.25">
      <c r="A13942" s="4">
        <v>13937</v>
      </c>
      <c r="B13942" s="3" t="str">
        <f>"200802010267"</f>
        <v>200802010267</v>
      </c>
    </row>
    <row r="13943" spans="1:2" x14ac:dyDescent="0.25">
      <c r="A13943" s="4">
        <v>13938</v>
      </c>
      <c r="B13943" s="3" t="str">
        <f>"200802010341"</f>
        <v>200802010341</v>
      </c>
    </row>
    <row r="13944" spans="1:2" x14ac:dyDescent="0.25">
      <c r="A13944" s="4">
        <v>13939</v>
      </c>
      <c r="B13944" s="3" t="str">
        <f>"200802010366"</f>
        <v>200802010366</v>
      </c>
    </row>
    <row r="13945" spans="1:2" x14ac:dyDescent="0.25">
      <c r="A13945" s="4">
        <v>13940</v>
      </c>
      <c r="B13945" s="3" t="str">
        <f>"200802010591"</f>
        <v>200802010591</v>
      </c>
    </row>
    <row r="13946" spans="1:2" x14ac:dyDescent="0.25">
      <c r="A13946" s="4">
        <v>13941</v>
      </c>
      <c r="B13946" s="3" t="str">
        <f>"200802010666"</f>
        <v>200802010666</v>
      </c>
    </row>
    <row r="13947" spans="1:2" x14ac:dyDescent="0.25">
      <c r="A13947" s="4">
        <v>13942</v>
      </c>
      <c r="B13947" s="3" t="str">
        <f>"200802010692"</f>
        <v>200802010692</v>
      </c>
    </row>
    <row r="13948" spans="1:2" x14ac:dyDescent="0.25">
      <c r="A13948" s="4">
        <v>13943</v>
      </c>
      <c r="B13948" s="3" t="str">
        <f>"200802010842"</f>
        <v>200802010842</v>
      </c>
    </row>
    <row r="13949" spans="1:2" x14ac:dyDescent="0.25">
      <c r="A13949" s="4">
        <v>13944</v>
      </c>
      <c r="B13949" s="3" t="str">
        <f>"200802010969"</f>
        <v>200802010969</v>
      </c>
    </row>
    <row r="13950" spans="1:2" x14ac:dyDescent="0.25">
      <c r="A13950" s="4">
        <v>13945</v>
      </c>
      <c r="B13950" s="3" t="str">
        <f>"200802011062"</f>
        <v>200802011062</v>
      </c>
    </row>
    <row r="13951" spans="1:2" x14ac:dyDescent="0.25">
      <c r="A13951" s="4">
        <v>13946</v>
      </c>
      <c r="B13951" s="3" t="str">
        <f>"200802011214"</f>
        <v>200802011214</v>
      </c>
    </row>
    <row r="13952" spans="1:2" x14ac:dyDescent="0.25">
      <c r="A13952" s="4">
        <v>13947</v>
      </c>
      <c r="B13952" s="3" t="str">
        <f>"200802011304"</f>
        <v>200802011304</v>
      </c>
    </row>
    <row r="13953" spans="1:2" x14ac:dyDescent="0.25">
      <c r="A13953" s="4">
        <v>13948</v>
      </c>
      <c r="B13953" s="3" t="str">
        <f>"200802011564"</f>
        <v>200802011564</v>
      </c>
    </row>
    <row r="13954" spans="1:2" x14ac:dyDescent="0.25">
      <c r="A13954" s="4">
        <v>13949</v>
      </c>
      <c r="B13954" s="3" t="str">
        <f>"200802011861"</f>
        <v>200802011861</v>
      </c>
    </row>
    <row r="13955" spans="1:2" x14ac:dyDescent="0.25">
      <c r="A13955" s="4">
        <v>13950</v>
      </c>
      <c r="B13955" s="3" t="str">
        <f>"200802012213"</f>
        <v>200802012213</v>
      </c>
    </row>
    <row r="13956" spans="1:2" x14ac:dyDescent="0.25">
      <c r="A13956" s="4">
        <v>13951</v>
      </c>
      <c r="B13956" s="3" t="str">
        <f>"200802012225"</f>
        <v>200802012225</v>
      </c>
    </row>
    <row r="13957" spans="1:2" x14ac:dyDescent="0.25">
      <c r="A13957" s="4">
        <v>13952</v>
      </c>
      <c r="B13957" s="3" t="str">
        <f>"200803000119"</f>
        <v>200803000119</v>
      </c>
    </row>
    <row r="13958" spans="1:2" x14ac:dyDescent="0.25">
      <c r="A13958" s="4">
        <v>13953</v>
      </c>
      <c r="B13958" s="3" t="str">
        <f>"200803000203"</f>
        <v>200803000203</v>
      </c>
    </row>
    <row r="13959" spans="1:2" x14ac:dyDescent="0.25">
      <c r="A13959" s="4">
        <v>13954</v>
      </c>
      <c r="B13959" s="3" t="str">
        <f>"200803000334"</f>
        <v>200803000334</v>
      </c>
    </row>
    <row r="13960" spans="1:2" x14ac:dyDescent="0.25">
      <c r="A13960" s="4">
        <v>13955</v>
      </c>
      <c r="B13960" s="3" t="str">
        <f>"200803000455"</f>
        <v>200803000455</v>
      </c>
    </row>
    <row r="13961" spans="1:2" x14ac:dyDescent="0.25">
      <c r="A13961" s="4">
        <v>13956</v>
      </c>
      <c r="B13961" s="3" t="str">
        <f>"200803000505"</f>
        <v>200803000505</v>
      </c>
    </row>
    <row r="13962" spans="1:2" x14ac:dyDescent="0.25">
      <c r="A13962" s="4">
        <v>13957</v>
      </c>
      <c r="B13962" s="3" t="str">
        <f>"200803000718"</f>
        <v>200803000718</v>
      </c>
    </row>
    <row r="13963" spans="1:2" x14ac:dyDescent="0.25">
      <c r="A13963" s="4">
        <v>13958</v>
      </c>
      <c r="B13963" s="3" t="str">
        <f>"200803000753"</f>
        <v>200803000753</v>
      </c>
    </row>
    <row r="13964" spans="1:2" x14ac:dyDescent="0.25">
      <c r="A13964" s="4">
        <v>13959</v>
      </c>
      <c r="B13964" s="3" t="str">
        <f>"200803000915"</f>
        <v>200803000915</v>
      </c>
    </row>
    <row r="13965" spans="1:2" x14ac:dyDescent="0.25">
      <c r="A13965" s="4">
        <v>13960</v>
      </c>
      <c r="B13965" s="3" t="str">
        <f>"200803001112"</f>
        <v>200803001112</v>
      </c>
    </row>
    <row r="13966" spans="1:2" x14ac:dyDescent="0.25">
      <c r="A13966" s="4">
        <v>13961</v>
      </c>
      <c r="B13966" s="3" t="str">
        <f>"200804000029"</f>
        <v>200804000029</v>
      </c>
    </row>
    <row r="13967" spans="1:2" x14ac:dyDescent="0.25">
      <c r="A13967" s="4">
        <v>13962</v>
      </c>
      <c r="B13967" s="3" t="str">
        <f>"200804000220"</f>
        <v>200804000220</v>
      </c>
    </row>
    <row r="13968" spans="1:2" x14ac:dyDescent="0.25">
      <c r="A13968" s="4">
        <v>13963</v>
      </c>
      <c r="B13968" s="3" t="str">
        <f>"200804000229"</f>
        <v>200804000229</v>
      </c>
    </row>
    <row r="13969" spans="1:2" x14ac:dyDescent="0.25">
      <c r="A13969" s="4">
        <v>13964</v>
      </c>
      <c r="B13969" s="3" t="str">
        <f>"200804000363"</f>
        <v>200804000363</v>
      </c>
    </row>
    <row r="13970" spans="1:2" x14ac:dyDescent="0.25">
      <c r="A13970" s="4">
        <v>13965</v>
      </c>
      <c r="B13970" s="3" t="str">
        <f>"200804000402"</f>
        <v>200804000402</v>
      </c>
    </row>
    <row r="13971" spans="1:2" x14ac:dyDescent="0.25">
      <c r="A13971" s="4">
        <v>13966</v>
      </c>
      <c r="B13971" s="3" t="str">
        <f>"200804000425"</f>
        <v>200804000425</v>
      </c>
    </row>
    <row r="13972" spans="1:2" x14ac:dyDescent="0.25">
      <c r="A13972" s="4">
        <v>13967</v>
      </c>
      <c r="B13972" s="3" t="str">
        <f>"200804000505"</f>
        <v>200804000505</v>
      </c>
    </row>
    <row r="13973" spans="1:2" x14ac:dyDescent="0.25">
      <c r="A13973" s="4">
        <v>13968</v>
      </c>
      <c r="B13973" s="3" t="str">
        <f>"200804000574"</f>
        <v>200804000574</v>
      </c>
    </row>
    <row r="13974" spans="1:2" x14ac:dyDescent="0.25">
      <c r="A13974" s="4">
        <v>13969</v>
      </c>
      <c r="B13974" s="3" t="str">
        <f>"200804000576"</f>
        <v>200804000576</v>
      </c>
    </row>
    <row r="13975" spans="1:2" x14ac:dyDescent="0.25">
      <c r="A13975" s="4">
        <v>13970</v>
      </c>
      <c r="B13975" s="3" t="str">
        <f>"200804000637"</f>
        <v>200804000637</v>
      </c>
    </row>
    <row r="13976" spans="1:2" x14ac:dyDescent="0.25">
      <c r="A13976" s="4">
        <v>13971</v>
      </c>
      <c r="B13976" s="3" t="str">
        <f>"200804000839"</f>
        <v>200804000839</v>
      </c>
    </row>
    <row r="13977" spans="1:2" x14ac:dyDescent="0.25">
      <c r="A13977" s="4">
        <v>13972</v>
      </c>
      <c r="B13977" s="3" t="str">
        <f>"200805000020"</f>
        <v>200805000020</v>
      </c>
    </row>
    <row r="13978" spans="1:2" x14ac:dyDescent="0.25">
      <c r="A13978" s="4">
        <v>13973</v>
      </c>
      <c r="B13978" s="3" t="str">
        <f>"200805000044"</f>
        <v>200805000044</v>
      </c>
    </row>
    <row r="13979" spans="1:2" x14ac:dyDescent="0.25">
      <c r="A13979" s="4">
        <v>13974</v>
      </c>
      <c r="B13979" s="3" t="str">
        <f>"200805000133"</f>
        <v>200805000133</v>
      </c>
    </row>
    <row r="13980" spans="1:2" x14ac:dyDescent="0.25">
      <c r="A13980" s="4">
        <v>13975</v>
      </c>
      <c r="B13980" s="3" t="str">
        <f>"200805000265"</f>
        <v>200805000265</v>
      </c>
    </row>
    <row r="13981" spans="1:2" x14ac:dyDescent="0.25">
      <c r="A13981" s="4">
        <v>13976</v>
      </c>
      <c r="B13981" s="3" t="str">
        <f>"200805000365"</f>
        <v>200805000365</v>
      </c>
    </row>
    <row r="13982" spans="1:2" x14ac:dyDescent="0.25">
      <c r="A13982" s="4">
        <v>13977</v>
      </c>
      <c r="B13982" s="3" t="str">
        <f>"200805000508"</f>
        <v>200805000508</v>
      </c>
    </row>
    <row r="13983" spans="1:2" x14ac:dyDescent="0.25">
      <c r="A13983" s="4">
        <v>13978</v>
      </c>
      <c r="B13983" s="3" t="str">
        <f>"200805000524"</f>
        <v>200805000524</v>
      </c>
    </row>
    <row r="13984" spans="1:2" x14ac:dyDescent="0.25">
      <c r="A13984" s="4">
        <v>13979</v>
      </c>
      <c r="B13984" s="3" t="str">
        <f>"200805000697"</f>
        <v>200805000697</v>
      </c>
    </row>
    <row r="13985" spans="1:2" x14ac:dyDescent="0.25">
      <c r="A13985" s="4">
        <v>13980</v>
      </c>
      <c r="B13985" s="3" t="str">
        <f>"200805000735"</f>
        <v>200805000735</v>
      </c>
    </row>
    <row r="13986" spans="1:2" x14ac:dyDescent="0.25">
      <c r="A13986" s="4">
        <v>13981</v>
      </c>
      <c r="B13986" s="3" t="str">
        <f>"200805000894"</f>
        <v>200805000894</v>
      </c>
    </row>
    <row r="13987" spans="1:2" x14ac:dyDescent="0.25">
      <c r="A13987" s="4">
        <v>13982</v>
      </c>
      <c r="B13987" s="3" t="str">
        <f>"200806000136"</f>
        <v>200806000136</v>
      </c>
    </row>
    <row r="13988" spans="1:2" x14ac:dyDescent="0.25">
      <c r="A13988" s="4">
        <v>13983</v>
      </c>
      <c r="B13988" s="3" t="str">
        <f>"200806000430"</f>
        <v>200806000430</v>
      </c>
    </row>
    <row r="13989" spans="1:2" x14ac:dyDescent="0.25">
      <c r="A13989" s="4">
        <v>13984</v>
      </c>
      <c r="B13989" s="3" t="str">
        <f>"200806000654"</f>
        <v>200806000654</v>
      </c>
    </row>
    <row r="13990" spans="1:2" x14ac:dyDescent="0.25">
      <c r="A13990" s="4">
        <v>13985</v>
      </c>
      <c r="B13990" s="3" t="str">
        <f>"200806000663"</f>
        <v>200806000663</v>
      </c>
    </row>
    <row r="13991" spans="1:2" x14ac:dyDescent="0.25">
      <c r="A13991" s="4">
        <v>13986</v>
      </c>
      <c r="B13991" s="3" t="str">
        <f>"200806000760"</f>
        <v>200806000760</v>
      </c>
    </row>
    <row r="13992" spans="1:2" x14ac:dyDescent="0.25">
      <c r="A13992" s="4">
        <v>13987</v>
      </c>
      <c r="B13992" s="3" t="str">
        <f>"200806000892"</f>
        <v>200806000892</v>
      </c>
    </row>
    <row r="13993" spans="1:2" x14ac:dyDescent="0.25">
      <c r="A13993" s="4">
        <v>13988</v>
      </c>
      <c r="B13993" s="3" t="str">
        <f>"200806000974"</f>
        <v>200806000974</v>
      </c>
    </row>
    <row r="13994" spans="1:2" x14ac:dyDescent="0.25">
      <c r="A13994" s="4">
        <v>13989</v>
      </c>
      <c r="B13994" s="3" t="str">
        <f>"200806000986"</f>
        <v>200806000986</v>
      </c>
    </row>
    <row r="13995" spans="1:2" x14ac:dyDescent="0.25">
      <c r="A13995" s="4">
        <v>13990</v>
      </c>
      <c r="B13995" s="3" t="str">
        <f>"200807000044"</f>
        <v>200807000044</v>
      </c>
    </row>
    <row r="13996" spans="1:2" x14ac:dyDescent="0.25">
      <c r="A13996" s="4">
        <v>13991</v>
      </c>
      <c r="B13996" s="3" t="str">
        <f>"200807000135"</f>
        <v>200807000135</v>
      </c>
    </row>
    <row r="13997" spans="1:2" x14ac:dyDescent="0.25">
      <c r="A13997" s="4">
        <v>13992</v>
      </c>
      <c r="B13997" s="3" t="str">
        <f>"200807000170"</f>
        <v>200807000170</v>
      </c>
    </row>
    <row r="13998" spans="1:2" x14ac:dyDescent="0.25">
      <c r="A13998" s="4">
        <v>13993</v>
      </c>
      <c r="B13998" s="3" t="str">
        <f>"200807000245"</f>
        <v>200807000245</v>
      </c>
    </row>
    <row r="13999" spans="1:2" x14ac:dyDescent="0.25">
      <c r="A13999" s="4">
        <v>13994</v>
      </c>
      <c r="B13999" s="3" t="str">
        <f>"200807000342"</f>
        <v>200807000342</v>
      </c>
    </row>
    <row r="14000" spans="1:2" x14ac:dyDescent="0.25">
      <c r="A14000" s="4">
        <v>13995</v>
      </c>
      <c r="B14000" s="3" t="str">
        <f>"200807000358"</f>
        <v>200807000358</v>
      </c>
    </row>
    <row r="14001" spans="1:2" x14ac:dyDescent="0.25">
      <c r="A14001" s="4">
        <v>13996</v>
      </c>
      <c r="B14001" s="3" t="str">
        <f>"200807000370"</f>
        <v>200807000370</v>
      </c>
    </row>
    <row r="14002" spans="1:2" x14ac:dyDescent="0.25">
      <c r="A14002" s="4">
        <v>13997</v>
      </c>
      <c r="B14002" s="3" t="str">
        <f>"200807000385"</f>
        <v>200807000385</v>
      </c>
    </row>
    <row r="14003" spans="1:2" x14ac:dyDescent="0.25">
      <c r="A14003" s="4">
        <v>13998</v>
      </c>
      <c r="B14003" s="3" t="str">
        <f>"200807000473"</f>
        <v>200807000473</v>
      </c>
    </row>
    <row r="14004" spans="1:2" x14ac:dyDescent="0.25">
      <c r="A14004" s="4">
        <v>13999</v>
      </c>
      <c r="B14004" s="3" t="str">
        <f>"200807000573"</f>
        <v>200807000573</v>
      </c>
    </row>
    <row r="14005" spans="1:2" x14ac:dyDescent="0.25">
      <c r="A14005" s="4">
        <v>14000</v>
      </c>
      <c r="B14005" s="3" t="str">
        <f>"200807000651"</f>
        <v>200807000651</v>
      </c>
    </row>
    <row r="14006" spans="1:2" x14ac:dyDescent="0.25">
      <c r="A14006" s="4">
        <v>14001</v>
      </c>
      <c r="B14006" s="3" t="str">
        <f>"200807000691"</f>
        <v>200807000691</v>
      </c>
    </row>
    <row r="14007" spans="1:2" x14ac:dyDescent="0.25">
      <c r="A14007" s="4">
        <v>14002</v>
      </c>
      <c r="B14007" s="3" t="str">
        <f>"200807000711"</f>
        <v>200807000711</v>
      </c>
    </row>
    <row r="14008" spans="1:2" x14ac:dyDescent="0.25">
      <c r="A14008" s="4">
        <v>14003</v>
      </c>
      <c r="B14008" s="3" t="str">
        <f>"200807000720"</f>
        <v>200807000720</v>
      </c>
    </row>
    <row r="14009" spans="1:2" x14ac:dyDescent="0.25">
      <c r="A14009" s="4">
        <v>14004</v>
      </c>
      <c r="B14009" s="3" t="str">
        <f>"200807000831"</f>
        <v>200807000831</v>
      </c>
    </row>
    <row r="14010" spans="1:2" x14ac:dyDescent="0.25">
      <c r="A14010" s="4">
        <v>14005</v>
      </c>
      <c r="B14010" s="3" t="str">
        <f>"200807000855"</f>
        <v>200807000855</v>
      </c>
    </row>
    <row r="14011" spans="1:2" x14ac:dyDescent="0.25">
      <c r="A14011" s="4">
        <v>14006</v>
      </c>
      <c r="B14011" s="3" t="str">
        <f>"200807000928"</f>
        <v>200807000928</v>
      </c>
    </row>
    <row r="14012" spans="1:2" x14ac:dyDescent="0.25">
      <c r="A14012" s="4">
        <v>14007</v>
      </c>
      <c r="B14012" s="3" t="str">
        <f>"200808000231"</f>
        <v>200808000231</v>
      </c>
    </row>
    <row r="14013" spans="1:2" x14ac:dyDescent="0.25">
      <c r="A14013" s="4">
        <v>14008</v>
      </c>
      <c r="B14013" s="3" t="str">
        <f>"200808000343"</f>
        <v>200808000343</v>
      </c>
    </row>
    <row r="14014" spans="1:2" x14ac:dyDescent="0.25">
      <c r="A14014" s="4">
        <v>14009</v>
      </c>
      <c r="B14014" s="3" t="str">
        <f>"200808000625"</f>
        <v>200808000625</v>
      </c>
    </row>
    <row r="14015" spans="1:2" x14ac:dyDescent="0.25">
      <c r="A14015" s="4">
        <v>14010</v>
      </c>
      <c r="B14015" s="3" t="str">
        <f>"200808000753"</f>
        <v>200808000753</v>
      </c>
    </row>
    <row r="14016" spans="1:2" x14ac:dyDescent="0.25">
      <c r="A14016" s="4">
        <v>14011</v>
      </c>
      <c r="B14016" s="3" t="str">
        <f>"200808000782"</f>
        <v>200808000782</v>
      </c>
    </row>
    <row r="14017" spans="1:2" x14ac:dyDescent="0.25">
      <c r="A14017" s="4">
        <v>14012</v>
      </c>
      <c r="B14017" s="3" t="str">
        <f>"200809000110"</f>
        <v>200809000110</v>
      </c>
    </row>
    <row r="14018" spans="1:2" x14ac:dyDescent="0.25">
      <c r="A14018" s="4">
        <v>14013</v>
      </c>
      <c r="B14018" s="3" t="str">
        <f>"200809000238"</f>
        <v>200809000238</v>
      </c>
    </row>
    <row r="14019" spans="1:2" x14ac:dyDescent="0.25">
      <c r="A14019" s="4">
        <v>14014</v>
      </c>
      <c r="B14019" s="3" t="str">
        <f>"200809000484"</f>
        <v>200809000484</v>
      </c>
    </row>
    <row r="14020" spans="1:2" x14ac:dyDescent="0.25">
      <c r="A14020" s="4">
        <v>14015</v>
      </c>
      <c r="B14020" s="3" t="str">
        <f>"200809000538"</f>
        <v>200809000538</v>
      </c>
    </row>
    <row r="14021" spans="1:2" x14ac:dyDescent="0.25">
      <c r="A14021" s="4">
        <v>14016</v>
      </c>
      <c r="B14021" s="3" t="str">
        <f>"200809000588"</f>
        <v>200809000588</v>
      </c>
    </row>
    <row r="14022" spans="1:2" x14ac:dyDescent="0.25">
      <c r="A14022" s="4">
        <v>14017</v>
      </c>
      <c r="B14022" s="3" t="str">
        <f>"200809000817"</f>
        <v>200809000817</v>
      </c>
    </row>
    <row r="14023" spans="1:2" x14ac:dyDescent="0.25">
      <c r="A14023" s="4">
        <v>14018</v>
      </c>
      <c r="B14023" s="3" t="str">
        <f>"200809001027"</f>
        <v>200809001027</v>
      </c>
    </row>
    <row r="14024" spans="1:2" x14ac:dyDescent="0.25">
      <c r="A14024" s="4">
        <v>14019</v>
      </c>
      <c r="B14024" s="3" t="str">
        <f>"200809001113"</f>
        <v>200809001113</v>
      </c>
    </row>
    <row r="14025" spans="1:2" x14ac:dyDescent="0.25">
      <c r="A14025" s="4">
        <v>14020</v>
      </c>
      <c r="B14025" s="3" t="str">
        <f>"200810000352"</f>
        <v>200810000352</v>
      </c>
    </row>
    <row r="14026" spans="1:2" x14ac:dyDescent="0.25">
      <c r="A14026" s="4">
        <v>14021</v>
      </c>
      <c r="B14026" s="3" t="str">
        <f>"200810000607"</f>
        <v>200810000607</v>
      </c>
    </row>
    <row r="14027" spans="1:2" x14ac:dyDescent="0.25">
      <c r="A14027" s="4">
        <v>14022</v>
      </c>
      <c r="B14027" s="3" t="str">
        <f>"200810000814"</f>
        <v>200810000814</v>
      </c>
    </row>
    <row r="14028" spans="1:2" x14ac:dyDescent="0.25">
      <c r="A14028" s="4">
        <v>14023</v>
      </c>
      <c r="B14028" s="3" t="str">
        <f>"200810001174"</f>
        <v>200810001174</v>
      </c>
    </row>
    <row r="14029" spans="1:2" x14ac:dyDescent="0.25">
      <c r="A14029" s="4">
        <v>14024</v>
      </c>
      <c r="B14029" s="3" t="str">
        <f>"200811000006"</f>
        <v>200811000006</v>
      </c>
    </row>
    <row r="14030" spans="1:2" x14ac:dyDescent="0.25">
      <c r="A14030" s="4">
        <v>14025</v>
      </c>
      <c r="B14030" s="3" t="str">
        <f>"200811000050"</f>
        <v>200811000050</v>
      </c>
    </row>
    <row r="14031" spans="1:2" x14ac:dyDescent="0.25">
      <c r="A14031" s="4">
        <v>14026</v>
      </c>
      <c r="B14031" s="3" t="str">
        <f>"200811000248"</f>
        <v>200811000248</v>
      </c>
    </row>
    <row r="14032" spans="1:2" x14ac:dyDescent="0.25">
      <c r="A14032" s="4">
        <v>14027</v>
      </c>
      <c r="B14032" s="3" t="str">
        <f>"200811000273"</f>
        <v>200811000273</v>
      </c>
    </row>
    <row r="14033" spans="1:2" x14ac:dyDescent="0.25">
      <c r="A14033" s="4">
        <v>14028</v>
      </c>
      <c r="B14033" s="3" t="str">
        <f>"200811000541"</f>
        <v>200811000541</v>
      </c>
    </row>
    <row r="14034" spans="1:2" x14ac:dyDescent="0.25">
      <c r="A14034" s="4">
        <v>14029</v>
      </c>
      <c r="B14034" s="3" t="str">
        <f>"200811000699"</f>
        <v>200811000699</v>
      </c>
    </row>
    <row r="14035" spans="1:2" x14ac:dyDescent="0.25">
      <c r="A14035" s="4">
        <v>14030</v>
      </c>
      <c r="B14035" s="3" t="str">
        <f>"200811000740"</f>
        <v>200811000740</v>
      </c>
    </row>
    <row r="14036" spans="1:2" x14ac:dyDescent="0.25">
      <c r="A14036" s="4">
        <v>14031</v>
      </c>
      <c r="B14036" s="3" t="str">
        <f>"200811000884"</f>
        <v>200811000884</v>
      </c>
    </row>
    <row r="14037" spans="1:2" x14ac:dyDescent="0.25">
      <c r="A14037" s="4">
        <v>14032</v>
      </c>
      <c r="B14037" s="3" t="str">
        <f>"200811000885"</f>
        <v>200811000885</v>
      </c>
    </row>
    <row r="14038" spans="1:2" x14ac:dyDescent="0.25">
      <c r="A14038" s="4">
        <v>14033</v>
      </c>
      <c r="B14038" s="3" t="str">
        <f>"200811000912"</f>
        <v>200811000912</v>
      </c>
    </row>
    <row r="14039" spans="1:2" x14ac:dyDescent="0.25">
      <c r="A14039" s="4">
        <v>14034</v>
      </c>
      <c r="B14039" s="3" t="str">
        <f>"200811001159"</f>
        <v>200811001159</v>
      </c>
    </row>
    <row r="14040" spans="1:2" x14ac:dyDescent="0.25">
      <c r="A14040" s="4">
        <v>14035</v>
      </c>
      <c r="B14040" s="3" t="str">
        <f>"200811001389"</f>
        <v>200811001389</v>
      </c>
    </row>
    <row r="14041" spans="1:2" x14ac:dyDescent="0.25">
      <c r="A14041" s="4">
        <v>14036</v>
      </c>
      <c r="B14041" s="3" t="str">
        <f>"200811001395"</f>
        <v>200811001395</v>
      </c>
    </row>
    <row r="14042" spans="1:2" x14ac:dyDescent="0.25">
      <c r="A14042" s="4">
        <v>14037</v>
      </c>
      <c r="B14042" s="3" t="str">
        <f>"200811001534"</f>
        <v>200811001534</v>
      </c>
    </row>
    <row r="14043" spans="1:2" x14ac:dyDescent="0.25">
      <c r="A14043" s="4">
        <v>14038</v>
      </c>
      <c r="B14043" s="3" t="str">
        <f>"200811001541"</f>
        <v>200811001541</v>
      </c>
    </row>
    <row r="14044" spans="1:2" x14ac:dyDescent="0.25">
      <c r="A14044" s="4">
        <v>14039</v>
      </c>
      <c r="B14044" s="3" t="str">
        <f>"200811001542"</f>
        <v>200811001542</v>
      </c>
    </row>
    <row r="14045" spans="1:2" x14ac:dyDescent="0.25">
      <c r="A14045" s="4">
        <v>14040</v>
      </c>
      <c r="B14045" s="3" t="str">
        <f>"200811001564"</f>
        <v>200811001564</v>
      </c>
    </row>
    <row r="14046" spans="1:2" x14ac:dyDescent="0.25">
      <c r="A14046" s="4">
        <v>14041</v>
      </c>
      <c r="B14046" s="3" t="str">
        <f>"200811001568"</f>
        <v>200811001568</v>
      </c>
    </row>
    <row r="14047" spans="1:2" x14ac:dyDescent="0.25">
      <c r="A14047" s="4">
        <v>14042</v>
      </c>
      <c r="B14047" s="3" t="str">
        <f>"200811001682"</f>
        <v>200811001682</v>
      </c>
    </row>
    <row r="14048" spans="1:2" x14ac:dyDescent="0.25">
      <c r="A14048" s="4">
        <v>14043</v>
      </c>
      <c r="B14048" s="3" t="str">
        <f>"200812000342"</f>
        <v>200812000342</v>
      </c>
    </row>
    <row r="14049" spans="1:2" x14ac:dyDescent="0.25">
      <c r="A14049" s="4">
        <v>14044</v>
      </c>
      <c r="B14049" s="3" t="str">
        <f>"200812000418"</f>
        <v>200812000418</v>
      </c>
    </row>
    <row r="14050" spans="1:2" x14ac:dyDescent="0.25">
      <c r="A14050" s="4">
        <v>14045</v>
      </c>
      <c r="B14050" s="3" t="str">
        <f>"200812000568"</f>
        <v>200812000568</v>
      </c>
    </row>
    <row r="14051" spans="1:2" x14ac:dyDescent="0.25">
      <c r="A14051" s="4">
        <v>14046</v>
      </c>
      <c r="B14051" s="3" t="str">
        <f>"200901000019"</f>
        <v>200901000019</v>
      </c>
    </row>
    <row r="14052" spans="1:2" x14ac:dyDescent="0.25">
      <c r="A14052" s="4">
        <v>14047</v>
      </c>
      <c r="B14052" s="3" t="str">
        <f>"200901000037"</f>
        <v>200901000037</v>
      </c>
    </row>
    <row r="14053" spans="1:2" x14ac:dyDescent="0.25">
      <c r="A14053" s="4">
        <v>14048</v>
      </c>
      <c r="B14053" s="3" t="str">
        <f>"200901000055"</f>
        <v>200901000055</v>
      </c>
    </row>
    <row r="14054" spans="1:2" x14ac:dyDescent="0.25">
      <c r="A14054" s="4">
        <v>14049</v>
      </c>
      <c r="B14054" s="3" t="str">
        <f>"200901000170"</f>
        <v>200901000170</v>
      </c>
    </row>
    <row r="14055" spans="1:2" x14ac:dyDescent="0.25">
      <c r="A14055" s="4">
        <v>14050</v>
      </c>
      <c r="B14055" s="3" t="str">
        <f>"200901000221"</f>
        <v>200901000221</v>
      </c>
    </row>
    <row r="14056" spans="1:2" x14ac:dyDescent="0.25">
      <c r="A14056" s="4">
        <v>14051</v>
      </c>
      <c r="B14056" s="3" t="str">
        <f>"200901000269"</f>
        <v>200901000269</v>
      </c>
    </row>
    <row r="14057" spans="1:2" x14ac:dyDescent="0.25">
      <c r="A14057" s="4">
        <v>14052</v>
      </c>
      <c r="B14057" s="3" t="str">
        <f>"200901000320"</f>
        <v>200901000320</v>
      </c>
    </row>
    <row r="14058" spans="1:2" x14ac:dyDescent="0.25">
      <c r="A14058" s="4">
        <v>14053</v>
      </c>
      <c r="B14058" s="3" t="str">
        <f>"200901000343"</f>
        <v>200901000343</v>
      </c>
    </row>
    <row r="14059" spans="1:2" x14ac:dyDescent="0.25">
      <c r="A14059" s="4">
        <v>14054</v>
      </c>
      <c r="B14059" s="3" t="str">
        <f>"200901000363"</f>
        <v>200901000363</v>
      </c>
    </row>
    <row r="14060" spans="1:2" x14ac:dyDescent="0.25">
      <c r="A14060" s="4">
        <v>14055</v>
      </c>
      <c r="B14060" s="3" t="str">
        <f>"200901000588"</f>
        <v>200901000588</v>
      </c>
    </row>
    <row r="14061" spans="1:2" x14ac:dyDescent="0.25">
      <c r="A14061" s="4">
        <v>14056</v>
      </c>
      <c r="B14061" s="3" t="str">
        <f>"200901000632"</f>
        <v>200901000632</v>
      </c>
    </row>
    <row r="14062" spans="1:2" x14ac:dyDescent="0.25">
      <c r="A14062" s="4">
        <v>14057</v>
      </c>
      <c r="B14062" s="3" t="str">
        <f>"200901000639"</f>
        <v>200901000639</v>
      </c>
    </row>
    <row r="14063" spans="1:2" x14ac:dyDescent="0.25">
      <c r="A14063" s="4">
        <v>14058</v>
      </c>
      <c r="B14063" s="3" t="str">
        <f>"200901000658"</f>
        <v>200901000658</v>
      </c>
    </row>
    <row r="14064" spans="1:2" x14ac:dyDescent="0.25">
      <c r="A14064" s="4">
        <v>14059</v>
      </c>
      <c r="B14064" s="3" t="str">
        <f>"200901000694"</f>
        <v>200901000694</v>
      </c>
    </row>
    <row r="14065" spans="1:2" x14ac:dyDescent="0.25">
      <c r="A14065" s="4">
        <v>14060</v>
      </c>
      <c r="B14065" s="3" t="str">
        <f>"200901000945"</f>
        <v>200901000945</v>
      </c>
    </row>
    <row r="14066" spans="1:2" x14ac:dyDescent="0.25">
      <c r="A14066" s="4">
        <v>14061</v>
      </c>
      <c r="B14066" s="3" t="str">
        <f>"200901001060"</f>
        <v>200901001060</v>
      </c>
    </row>
    <row r="14067" spans="1:2" x14ac:dyDescent="0.25">
      <c r="A14067" s="4">
        <v>14062</v>
      </c>
      <c r="B14067" s="3" t="str">
        <f>"200902000035"</f>
        <v>200902000035</v>
      </c>
    </row>
    <row r="14068" spans="1:2" x14ac:dyDescent="0.25">
      <c r="A14068" s="4">
        <v>14063</v>
      </c>
      <c r="B14068" s="3" t="str">
        <f>"200902000117"</f>
        <v>200902000117</v>
      </c>
    </row>
    <row r="14069" spans="1:2" x14ac:dyDescent="0.25">
      <c r="A14069" s="4">
        <v>14064</v>
      </c>
      <c r="B14069" s="3" t="str">
        <f>"200902000126"</f>
        <v>200902000126</v>
      </c>
    </row>
    <row r="14070" spans="1:2" x14ac:dyDescent="0.25">
      <c r="A14070" s="4">
        <v>14065</v>
      </c>
      <c r="B14070" s="3" t="str">
        <f>"200902000257"</f>
        <v>200902000257</v>
      </c>
    </row>
    <row r="14071" spans="1:2" x14ac:dyDescent="0.25">
      <c r="A14071" s="4">
        <v>14066</v>
      </c>
      <c r="B14071" s="3" t="str">
        <f>"200902000357"</f>
        <v>200902000357</v>
      </c>
    </row>
    <row r="14072" spans="1:2" x14ac:dyDescent="0.25">
      <c r="A14072" s="4">
        <v>14067</v>
      </c>
      <c r="B14072" s="3" t="str">
        <f>"200902000363"</f>
        <v>200902000363</v>
      </c>
    </row>
    <row r="14073" spans="1:2" x14ac:dyDescent="0.25">
      <c r="A14073" s="4">
        <v>14068</v>
      </c>
      <c r="B14073" s="3" t="str">
        <f>"200902000398"</f>
        <v>200902000398</v>
      </c>
    </row>
    <row r="14074" spans="1:2" x14ac:dyDescent="0.25">
      <c r="A14074" s="4">
        <v>14069</v>
      </c>
      <c r="B14074" s="3" t="str">
        <f>"200902000529"</f>
        <v>200902000529</v>
      </c>
    </row>
    <row r="14075" spans="1:2" x14ac:dyDescent="0.25">
      <c r="A14075" s="4">
        <v>14070</v>
      </c>
      <c r="B14075" s="3" t="str">
        <f>"200902000651"</f>
        <v>200902000651</v>
      </c>
    </row>
    <row r="14076" spans="1:2" x14ac:dyDescent="0.25">
      <c r="A14076" s="4">
        <v>14071</v>
      </c>
      <c r="B14076" s="3" t="str">
        <f>"200903000033"</f>
        <v>200903000033</v>
      </c>
    </row>
    <row r="14077" spans="1:2" x14ac:dyDescent="0.25">
      <c r="A14077" s="4">
        <v>14072</v>
      </c>
      <c r="B14077" s="3" t="str">
        <f>"200903000040"</f>
        <v>200903000040</v>
      </c>
    </row>
    <row r="14078" spans="1:2" x14ac:dyDescent="0.25">
      <c r="A14078" s="4">
        <v>14073</v>
      </c>
      <c r="B14078" s="3" t="str">
        <f>"200903000152"</f>
        <v>200903000152</v>
      </c>
    </row>
    <row r="14079" spans="1:2" x14ac:dyDescent="0.25">
      <c r="A14079" s="4">
        <v>14074</v>
      </c>
      <c r="B14079" s="3" t="str">
        <f>"200903000208"</f>
        <v>200903000208</v>
      </c>
    </row>
    <row r="14080" spans="1:2" x14ac:dyDescent="0.25">
      <c r="A14080" s="4">
        <v>14075</v>
      </c>
      <c r="B14080" s="3" t="str">
        <f>"200903000255"</f>
        <v>200903000255</v>
      </c>
    </row>
    <row r="14081" spans="1:2" x14ac:dyDescent="0.25">
      <c r="A14081" s="4">
        <v>14076</v>
      </c>
      <c r="B14081" s="3" t="str">
        <f>"200903000292"</f>
        <v>200903000292</v>
      </c>
    </row>
    <row r="14082" spans="1:2" x14ac:dyDescent="0.25">
      <c r="A14082" s="4">
        <v>14077</v>
      </c>
      <c r="B14082" s="3" t="str">
        <f>"200903000357"</f>
        <v>200903000357</v>
      </c>
    </row>
    <row r="14083" spans="1:2" x14ac:dyDescent="0.25">
      <c r="A14083" s="4">
        <v>14078</v>
      </c>
      <c r="B14083" s="3" t="str">
        <f>"200903000388"</f>
        <v>200903000388</v>
      </c>
    </row>
    <row r="14084" spans="1:2" x14ac:dyDescent="0.25">
      <c r="A14084" s="4">
        <v>14079</v>
      </c>
      <c r="B14084" s="3" t="str">
        <f>"200903000401"</f>
        <v>200903000401</v>
      </c>
    </row>
    <row r="14085" spans="1:2" x14ac:dyDescent="0.25">
      <c r="A14085" s="4">
        <v>14080</v>
      </c>
      <c r="B14085" s="3" t="str">
        <f>"200903000431"</f>
        <v>200903000431</v>
      </c>
    </row>
    <row r="14086" spans="1:2" x14ac:dyDescent="0.25">
      <c r="A14086" s="4">
        <v>14081</v>
      </c>
      <c r="B14086" s="3" t="str">
        <f>"200903000470"</f>
        <v>200903000470</v>
      </c>
    </row>
    <row r="14087" spans="1:2" x14ac:dyDescent="0.25">
      <c r="A14087" s="4">
        <v>14082</v>
      </c>
      <c r="B14087" s="3" t="str">
        <f>"200903000535"</f>
        <v>200903000535</v>
      </c>
    </row>
    <row r="14088" spans="1:2" x14ac:dyDescent="0.25">
      <c r="A14088" s="4">
        <v>14083</v>
      </c>
      <c r="B14088" s="3" t="str">
        <f>"200903000604"</f>
        <v>200903000604</v>
      </c>
    </row>
    <row r="14089" spans="1:2" x14ac:dyDescent="0.25">
      <c r="A14089" s="4">
        <v>14084</v>
      </c>
      <c r="B14089" s="3" t="str">
        <f>"200903000622"</f>
        <v>200903000622</v>
      </c>
    </row>
    <row r="14090" spans="1:2" x14ac:dyDescent="0.25">
      <c r="A14090" s="4">
        <v>14085</v>
      </c>
      <c r="B14090" s="3" t="str">
        <f>"200903000637"</f>
        <v>200903000637</v>
      </c>
    </row>
    <row r="14091" spans="1:2" x14ac:dyDescent="0.25">
      <c r="A14091" s="4">
        <v>14086</v>
      </c>
      <c r="B14091" s="3" t="str">
        <f>"200904000036"</f>
        <v>200904000036</v>
      </c>
    </row>
    <row r="14092" spans="1:2" x14ac:dyDescent="0.25">
      <c r="A14092" s="4">
        <v>14087</v>
      </c>
      <c r="B14092" s="3" t="str">
        <f>"200904000215"</f>
        <v>200904000215</v>
      </c>
    </row>
    <row r="14093" spans="1:2" x14ac:dyDescent="0.25">
      <c r="A14093" s="4">
        <v>14088</v>
      </c>
      <c r="B14093" s="3" t="str">
        <f>"200904000235"</f>
        <v>200904000235</v>
      </c>
    </row>
    <row r="14094" spans="1:2" x14ac:dyDescent="0.25">
      <c r="A14094" s="4">
        <v>14089</v>
      </c>
      <c r="B14094" s="3" t="str">
        <f>"200904000241"</f>
        <v>200904000241</v>
      </c>
    </row>
    <row r="14095" spans="1:2" x14ac:dyDescent="0.25">
      <c r="A14095" s="4">
        <v>14090</v>
      </c>
      <c r="B14095" s="3" t="str">
        <f>"200904000242"</f>
        <v>200904000242</v>
      </c>
    </row>
    <row r="14096" spans="1:2" x14ac:dyDescent="0.25">
      <c r="A14096" s="4">
        <v>14091</v>
      </c>
      <c r="B14096" s="3" t="str">
        <f>"200904000515"</f>
        <v>200904000515</v>
      </c>
    </row>
    <row r="14097" spans="1:2" x14ac:dyDescent="0.25">
      <c r="A14097" s="4">
        <v>14092</v>
      </c>
      <c r="B14097" s="3" t="str">
        <f>"200905000057"</f>
        <v>200905000057</v>
      </c>
    </row>
    <row r="14098" spans="1:2" x14ac:dyDescent="0.25">
      <c r="A14098" s="4">
        <v>14093</v>
      </c>
      <c r="B14098" s="3" t="str">
        <f>"200905000611"</f>
        <v>200905000611</v>
      </c>
    </row>
    <row r="14099" spans="1:2" x14ac:dyDescent="0.25">
      <c r="A14099" s="4">
        <v>14094</v>
      </c>
      <c r="B14099" s="3" t="str">
        <f>"200905000627"</f>
        <v>200905000627</v>
      </c>
    </row>
    <row r="14100" spans="1:2" x14ac:dyDescent="0.25">
      <c r="A14100" s="4">
        <v>14095</v>
      </c>
      <c r="B14100" s="3" t="str">
        <f>"200905000669"</f>
        <v>200905000669</v>
      </c>
    </row>
    <row r="14101" spans="1:2" x14ac:dyDescent="0.25">
      <c r="A14101" s="4">
        <v>14096</v>
      </c>
      <c r="B14101" s="3" t="str">
        <f>"200905000672"</f>
        <v>200905000672</v>
      </c>
    </row>
    <row r="14102" spans="1:2" x14ac:dyDescent="0.25">
      <c r="A14102" s="4">
        <v>14097</v>
      </c>
      <c r="B14102" s="3" t="str">
        <f>"200906000180"</f>
        <v>200906000180</v>
      </c>
    </row>
    <row r="14103" spans="1:2" x14ac:dyDescent="0.25">
      <c r="A14103" s="4">
        <v>14098</v>
      </c>
      <c r="B14103" s="3" t="str">
        <f>"200906000192"</f>
        <v>200906000192</v>
      </c>
    </row>
    <row r="14104" spans="1:2" x14ac:dyDescent="0.25">
      <c r="A14104" s="4">
        <v>14099</v>
      </c>
      <c r="B14104" s="3" t="str">
        <f>"200906000288"</f>
        <v>200906000288</v>
      </c>
    </row>
    <row r="14105" spans="1:2" x14ac:dyDescent="0.25">
      <c r="A14105" s="4">
        <v>14100</v>
      </c>
      <c r="B14105" s="3" t="str">
        <f>"200906000383"</f>
        <v>200906000383</v>
      </c>
    </row>
    <row r="14106" spans="1:2" x14ac:dyDescent="0.25">
      <c r="A14106" s="4">
        <v>14101</v>
      </c>
      <c r="B14106" s="3" t="str">
        <f>"200906000393"</f>
        <v>200906000393</v>
      </c>
    </row>
    <row r="14107" spans="1:2" x14ac:dyDescent="0.25">
      <c r="A14107" s="4">
        <v>14102</v>
      </c>
      <c r="B14107" s="3" t="str">
        <f>"200906000527"</f>
        <v>200906000527</v>
      </c>
    </row>
    <row r="14108" spans="1:2" x14ac:dyDescent="0.25">
      <c r="A14108" s="4">
        <v>14103</v>
      </c>
      <c r="B14108" s="3" t="str">
        <f>"200906000542"</f>
        <v>200906000542</v>
      </c>
    </row>
    <row r="14109" spans="1:2" x14ac:dyDescent="0.25">
      <c r="A14109" s="4">
        <v>14104</v>
      </c>
      <c r="B14109" s="3" t="str">
        <f>"200906000675"</f>
        <v>200906000675</v>
      </c>
    </row>
    <row r="14110" spans="1:2" x14ac:dyDescent="0.25">
      <c r="A14110" s="4">
        <v>14105</v>
      </c>
      <c r="B14110" s="3" t="str">
        <f>"200907000409"</f>
        <v>200907000409</v>
      </c>
    </row>
    <row r="14111" spans="1:2" x14ac:dyDescent="0.25">
      <c r="A14111" s="4">
        <v>14106</v>
      </c>
      <c r="B14111" s="3" t="str">
        <f>"200907000532"</f>
        <v>200907000532</v>
      </c>
    </row>
    <row r="14112" spans="1:2" x14ac:dyDescent="0.25">
      <c r="A14112" s="4">
        <v>14107</v>
      </c>
      <c r="B14112" s="3" t="str">
        <f>"200908000070"</f>
        <v>200908000070</v>
      </c>
    </row>
    <row r="14113" spans="1:2" x14ac:dyDescent="0.25">
      <c r="A14113" s="4">
        <v>14108</v>
      </c>
      <c r="B14113" s="3" t="str">
        <f>"200908000223"</f>
        <v>200908000223</v>
      </c>
    </row>
    <row r="14114" spans="1:2" x14ac:dyDescent="0.25">
      <c r="A14114" s="4">
        <v>14109</v>
      </c>
      <c r="B14114" s="3" t="str">
        <f>"200908000228"</f>
        <v>200908000228</v>
      </c>
    </row>
    <row r="14115" spans="1:2" x14ac:dyDescent="0.25">
      <c r="A14115" s="4">
        <v>14110</v>
      </c>
      <c r="B14115" s="3" t="str">
        <f>"200908000348"</f>
        <v>200908000348</v>
      </c>
    </row>
    <row r="14116" spans="1:2" x14ac:dyDescent="0.25">
      <c r="A14116" s="4">
        <v>14111</v>
      </c>
      <c r="B14116" s="3" t="str">
        <f>"200908000447"</f>
        <v>200908000447</v>
      </c>
    </row>
    <row r="14117" spans="1:2" x14ac:dyDescent="0.25">
      <c r="A14117" s="4">
        <v>14112</v>
      </c>
      <c r="B14117" s="3" t="str">
        <f>"200909000189"</f>
        <v>200909000189</v>
      </c>
    </row>
    <row r="14118" spans="1:2" x14ac:dyDescent="0.25">
      <c r="A14118" s="4">
        <v>14113</v>
      </c>
      <c r="B14118" s="3" t="str">
        <f>"200909000258"</f>
        <v>200909000258</v>
      </c>
    </row>
    <row r="14119" spans="1:2" x14ac:dyDescent="0.25">
      <c r="A14119" s="4">
        <v>14114</v>
      </c>
      <c r="B14119" s="3" t="str">
        <f>"200910000018"</f>
        <v>200910000018</v>
      </c>
    </row>
    <row r="14120" spans="1:2" x14ac:dyDescent="0.25">
      <c r="A14120" s="4">
        <v>14115</v>
      </c>
      <c r="B14120" s="3" t="str">
        <f>"200910000087"</f>
        <v>200910000087</v>
      </c>
    </row>
    <row r="14121" spans="1:2" x14ac:dyDescent="0.25">
      <c r="A14121" s="4">
        <v>14116</v>
      </c>
      <c r="B14121" s="3" t="str">
        <f>"200910000117"</f>
        <v>200910000117</v>
      </c>
    </row>
    <row r="14122" spans="1:2" x14ac:dyDescent="0.25">
      <c r="A14122" s="4">
        <v>14117</v>
      </c>
      <c r="B14122" s="3" t="str">
        <f>"200910000126"</f>
        <v>200910000126</v>
      </c>
    </row>
    <row r="14123" spans="1:2" x14ac:dyDescent="0.25">
      <c r="A14123" s="4">
        <v>14118</v>
      </c>
      <c r="B14123" s="3" t="str">
        <f>"200910000241"</f>
        <v>200910000241</v>
      </c>
    </row>
    <row r="14124" spans="1:2" x14ac:dyDescent="0.25">
      <c r="A14124" s="4">
        <v>14119</v>
      </c>
      <c r="B14124" s="3" t="str">
        <f>"200910000638"</f>
        <v>200910000638</v>
      </c>
    </row>
    <row r="14125" spans="1:2" x14ac:dyDescent="0.25">
      <c r="A14125" s="4">
        <v>14120</v>
      </c>
      <c r="B14125" s="3" t="str">
        <f>"200910000647"</f>
        <v>200910000647</v>
      </c>
    </row>
    <row r="14126" spans="1:2" x14ac:dyDescent="0.25">
      <c r="A14126" s="4">
        <v>14121</v>
      </c>
      <c r="B14126" s="3" t="str">
        <f>"200910000852"</f>
        <v>200910000852</v>
      </c>
    </row>
    <row r="14127" spans="1:2" x14ac:dyDescent="0.25">
      <c r="A14127" s="4">
        <v>14122</v>
      </c>
      <c r="B14127" s="3" t="str">
        <f>"200911000002"</f>
        <v>200911000002</v>
      </c>
    </row>
    <row r="14128" spans="1:2" x14ac:dyDescent="0.25">
      <c r="A14128" s="4">
        <v>14123</v>
      </c>
      <c r="B14128" s="3" t="str">
        <f>"200911000064"</f>
        <v>200911000064</v>
      </c>
    </row>
    <row r="14129" spans="1:2" x14ac:dyDescent="0.25">
      <c r="A14129" s="4">
        <v>14124</v>
      </c>
      <c r="B14129" s="3" t="str">
        <f>"200911000255"</f>
        <v>200911000255</v>
      </c>
    </row>
    <row r="14130" spans="1:2" x14ac:dyDescent="0.25">
      <c r="A14130" s="4">
        <v>14125</v>
      </c>
      <c r="B14130" s="3" t="str">
        <f>"200911000531"</f>
        <v>200911000531</v>
      </c>
    </row>
    <row r="14131" spans="1:2" x14ac:dyDescent="0.25">
      <c r="A14131" s="4">
        <v>14126</v>
      </c>
      <c r="B14131" s="3" t="str">
        <f>"200911000557"</f>
        <v>200911000557</v>
      </c>
    </row>
    <row r="14132" spans="1:2" x14ac:dyDescent="0.25">
      <c r="A14132" s="4">
        <v>14127</v>
      </c>
      <c r="B14132" s="3" t="str">
        <f>"200912000112"</f>
        <v>200912000112</v>
      </c>
    </row>
    <row r="14133" spans="1:2" x14ac:dyDescent="0.25">
      <c r="A14133" s="4">
        <v>14128</v>
      </c>
      <c r="B14133" s="3" t="str">
        <f>"200912000124"</f>
        <v>200912000124</v>
      </c>
    </row>
    <row r="14134" spans="1:2" x14ac:dyDescent="0.25">
      <c r="A14134" s="4">
        <v>14129</v>
      </c>
      <c r="B14134" s="3" t="str">
        <f>"201001000229"</f>
        <v>201001000229</v>
      </c>
    </row>
    <row r="14135" spans="1:2" x14ac:dyDescent="0.25">
      <c r="A14135" s="4">
        <v>14130</v>
      </c>
      <c r="B14135" s="3" t="str">
        <f>"201001000332"</f>
        <v>201001000332</v>
      </c>
    </row>
    <row r="14136" spans="1:2" x14ac:dyDescent="0.25">
      <c r="A14136" s="4">
        <v>14131</v>
      </c>
      <c r="B14136" s="3" t="str">
        <f>"201001000391"</f>
        <v>201001000391</v>
      </c>
    </row>
    <row r="14137" spans="1:2" x14ac:dyDescent="0.25">
      <c r="A14137" s="4">
        <v>14132</v>
      </c>
      <c r="B14137" s="3" t="str">
        <f>"201001000458"</f>
        <v>201001000458</v>
      </c>
    </row>
    <row r="14138" spans="1:2" x14ac:dyDescent="0.25">
      <c r="A14138" s="4">
        <v>14133</v>
      </c>
      <c r="B14138" s="3" t="str">
        <f>"201001000482"</f>
        <v>201001000482</v>
      </c>
    </row>
    <row r="14139" spans="1:2" x14ac:dyDescent="0.25">
      <c r="A14139" s="4">
        <v>14134</v>
      </c>
      <c r="B14139" s="3" t="str">
        <f>"201002000058"</f>
        <v>201002000058</v>
      </c>
    </row>
    <row r="14140" spans="1:2" x14ac:dyDescent="0.25">
      <c r="A14140" s="4">
        <v>14135</v>
      </c>
      <c r="B14140" s="3" t="str">
        <f>"201002000064"</f>
        <v>201002000064</v>
      </c>
    </row>
    <row r="14141" spans="1:2" x14ac:dyDescent="0.25">
      <c r="A14141" s="4">
        <v>14136</v>
      </c>
      <c r="B14141" s="3" t="str">
        <f>"201002000103"</f>
        <v>201002000103</v>
      </c>
    </row>
    <row r="14142" spans="1:2" x14ac:dyDescent="0.25">
      <c r="A14142" s="4">
        <v>14137</v>
      </c>
      <c r="B14142" s="3" t="str">
        <f>"201002000144"</f>
        <v>201002000144</v>
      </c>
    </row>
    <row r="14143" spans="1:2" x14ac:dyDescent="0.25">
      <c r="A14143" s="4">
        <v>14138</v>
      </c>
      <c r="B14143" s="3" t="str">
        <f>"201002000153"</f>
        <v>201002000153</v>
      </c>
    </row>
    <row r="14144" spans="1:2" x14ac:dyDescent="0.25">
      <c r="A14144" s="4">
        <v>14139</v>
      </c>
      <c r="B14144" s="3" t="str">
        <f>"201002000168"</f>
        <v>201002000168</v>
      </c>
    </row>
    <row r="14145" spans="1:2" x14ac:dyDescent="0.25">
      <c r="A14145" s="4">
        <v>14140</v>
      </c>
      <c r="B14145" s="3" t="str">
        <f>"201002000331"</f>
        <v>201002000331</v>
      </c>
    </row>
    <row r="14146" spans="1:2" x14ac:dyDescent="0.25">
      <c r="A14146" s="4">
        <v>14141</v>
      </c>
      <c r="B14146" s="3" t="str">
        <f>"201002000385"</f>
        <v>201002000385</v>
      </c>
    </row>
    <row r="14147" spans="1:2" x14ac:dyDescent="0.25">
      <c r="A14147" s="4">
        <v>14142</v>
      </c>
      <c r="B14147" s="3" t="str">
        <f>"201002000428"</f>
        <v>201002000428</v>
      </c>
    </row>
    <row r="14148" spans="1:2" x14ac:dyDescent="0.25">
      <c r="A14148" s="4">
        <v>14143</v>
      </c>
      <c r="B14148" s="3" t="str">
        <f>"201003000219"</f>
        <v>201003000219</v>
      </c>
    </row>
    <row r="14149" spans="1:2" x14ac:dyDescent="0.25">
      <c r="A14149" s="4">
        <v>14144</v>
      </c>
      <c r="B14149" s="3" t="str">
        <f>"201003000232"</f>
        <v>201003000232</v>
      </c>
    </row>
    <row r="14150" spans="1:2" x14ac:dyDescent="0.25">
      <c r="A14150" s="4">
        <v>14145</v>
      </c>
      <c r="B14150" s="3" t="str">
        <f>"201004000096"</f>
        <v>201004000096</v>
      </c>
    </row>
    <row r="14151" spans="1:2" x14ac:dyDescent="0.25">
      <c r="A14151" s="4">
        <v>14146</v>
      </c>
      <c r="B14151" s="3" t="str">
        <f>"201004000140"</f>
        <v>201004000140</v>
      </c>
    </row>
    <row r="14152" spans="1:2" x14ac:dyDescent="0.25">
      <c r="A14152" s="4">
        <v>14147</v>
      </c>
      <c r="B14152" s="3" t="str">
        <f>"201004000144"</f>
        <v>201004000144</v>
      </c>
    </row>
    <row r="14153" spans="1:2" x14ac:dyDescent="0.25">
      <c r="A14153" s="4">
        <v>14148</v>
      </c>
      <c r="B14153" s="3" t="str">
        <f>"201005000033"</f>
        <v>201005000033</v>
      </c>
    </row>
    <row r="14154" spans="1:2" x14ac:dyDescent="0.25">
      <c r="A14154" s="4">
        <v>14149</v>
      </c>
      <c r="B14154" s="3" t="str">
        <f>"201005000112"</f>
        <v>201005000112</v>
      </c>
    </row>
    <row r="14155" spans="1:2" x14ac:dyDescent="0.25">
      <c r="A14155" s="4">
        <v>14150</v>
      </c>
      <c r="B14155" s="3" t="str">
        <f>"201006000001"</f>
        <v>201006000001</v>
      </c>
    </row>
    <row r="14156" spans="1:2" x14ac:dyDescent="0.25">
      <c r="A14156" s="4">
        <v>14151</v>
      </c>
      <c r="B14156" s="3" t="str">
        <f>"201006000050"</f>
        <v>201006000050</v>
      </c>
    </row>
    <row r="14157" spans="1:2" x14ac:dyDescent="0.25">
      <c r="A14157" s="4">
        <v>14152</v>
      </c>
      <c r="B14157" s="3" t="str">
        <f>"201006000127"</f>
        <v>201006000127</v>
      </c>
    </row>
    <row r="14158" spans="1:2" x14ac:dyDescent="0.25">
      <c r="A14158" s="4">
        <v>14153</v>
      </c>
      <c r="B14158" s="3" t="str">
        <f>"201006000183"</f>
        <v>201006000183</v>
      </c>
    </row>
    <row r="14159" spans="1:2" x14ac:dyDescent="0.25">
      <c r="A14159" s="4">
        <v>14154</v>
      </c>
      <c r="B14159" s="3" t="str">
        <f>"201007000027"</f>
        <v>201007000027</v>
      </c>
    </row>
    <row r="14160" spans="1:2" x14ac:dyDescent="0.25">
      <c r="A14160" s="4">
        <v>14155</v>
      </c>
      <c r="B14160" s="3" t="str">
        <f>"201007000038"</f>
        <v>201007000038</v>
      </c>
    </row>
    <row r="14161" spans="1:2" x14ac:dyDescent="0.25">
      <c r="A14161" s="4">
        <v>14156</v>
      </c>
      <c r="B14161" s="3" t="str">
        <f>"201007000045"</f>
        <v>201007000045</v>
      </c>
    </row>
    <row r="14162" spans="1:2" x14ac:dyDescent="0.25">
      <c r="A14162" s="4">
        <v>14157</v>
      </c>
      <c r="B14162" s="3" t="str">
        <f>"201007000047"</f>
        <v>201007000047</v>
      </c>
    </row>
    <row r="14163" spans="1:2" x14ac:dyDescent="0.25">
      <c r="A14163" s="4">
        <v>14158</v>
      </c>
      <c r="B14163" s="3" t="str">
        <f>"201007000050"</f>
        <v>201007000050</v>
      </c>
    </row>
    <row r="14164" spans="1:2" x14ac:dyDescent="0.25">
      <c r="A14164" s="4">
        <v>14159</v>
      </c>
      <c r="B14164" s="3" t="str">
        <f>"201007000061"</f>
        <v>201007000061</v>
      </c>
    </row>
    <row r="14165" spans="1:2" x14ac:dyDescent="0.25">
      <c r="A14165" s="4">
        <v>14160</v>
      </c>
      <c r="B14165" s="3" t="str">
        <f>"201007000072"</f>
        <v>201007000072</v>
      </c>
    </row>
    <row r="14166" spans="1:2" x14ac:dyDescent="0.25">
      <c r="A14166" s="4">
        <v>14161</v>
      </c>
      <c r="B14166" s="3" t="str">
        <f>"201007000089"</f>
        <v>201007000089</v>
      </c>
    </row>
    <row r="14167" spans="1:2" x14ac:dyDescent="0.25">
      <c r="A14167" s="4">
        <v>14162</v>
      </c>
      <c r="B14167" s="3" t="str">
        <f>"201007000100"</f>
        <v>201007000100</v>
      </c>
    </row>
    <row r="14168" spans="1:2" x14ac:dyDescent="0.25">
      <c r="A14168" s="4">
        <v>14163</v>
      </c>
      <c r="B14168" s="3" t="str">
        <f>"201007000110"</f>
        <v>201007000110</v>
      </c>
    </row>
    <row r="14169" spans="1:2" x14ac:dyDescent="0.25">
      <c r="A14169" s="4">
        <v>14164</v>
      </c>
      <c r="B14169" s="3" t="str">
        <f>"201007000114"</f>
        <v>201007000114</v>
      </c>
    </row>
    <row r="14170" spans="1:2" x14ac:dyDescent="0.25">
      <c r="A14170" s="4">
        <v>14165</v>
      </c>
      <c r="B14170" s="3" t="str">
        <f>"201007000135"</f>
        <v>201007000135</v>
      </c>
    </row>
    <row r="14171" spans="1:2" x14ac:dyDescent="0.25">
      <c r="A14171" s="4">
        <v>14166</v>
      </c>
      <c r="B14171" s="3" t="str">
        <f>"201007000168"</f>
        <v>201007000168</v>
      </c>
    </row>
    <row r="14172" spans="1:2" x14ac:dyDescent="0.25">
      <c r="A14172" s="4">
        <v>14167</v>
      </c>
      <c r="B14172" s="3" t="str">
        <f>"201008000037"</f>
        <v>201008000037</v>
      </c>
    </row>
    <row r="14173" spans="1:2" x14ac:dyDescent="0.25">
      <c r="A14173" s="4">
        <v>14168</v>
      </c>
      <c r="B14173" s="3" t="str">
        <f>"201008000038"</f>
        <v>201008000038</v>
      </c>
    </row>
    <row r="14174" spans="1:2" x14ac:dyDescent="0.25">
      <c r="A14174" s="4">
        <v>14169</v>
      </c>
      <c r="B14174" s="3" t="str">
        <f>"201008000041"</f>
        <v>201008000041</v>
      </c>
    </row>
    <row r="14175" spans="1:2" x14ac:dyDescent="0.25">
      <c r="A14175" s="4">
        <v>14170</v>
      </c>
      <c r="B14175" s="3" t="str">
        <f>"201008000163"</f>
        <v>201008000163</v>
      </c>
    </row>
    <row r="14176" spans="1:2" x14ac:dyDescent="0.25">
      <c r="A14176" s="4">
        <v>14171</v>
      </c>
      <c r="B14176" s="3" t="str">
        <f>"201008000175"</f>
        <v>201008000175</v>
      </c>
    </row>
    <row r="14177" spans="1:2" x14ac:dyDescent="0.25">
      <c r="A14177" s="4">
        <v>14172</v>
      </c>
      <c r="B14177" s="3" t="str">
        <f>"201009000141"</f>
        <v>201009000141</v>
      </c>
    </row>
    <row r="14178" spans="1:2" x14ac:dyDescent="0.25">
      <c r="A14178" s="4">
        <v>14173</v>
      </c>
      <c r="B14178" s="3" t="str">
        <f>"201009000209"</f>
        <v>201009000209</v>
      </c>
    </row>
    <row r="14179" spans="1:2" x14ac:dyDescent="0.25">
      <c r="A14179" s="4">
        <v>14174</v>
      </c>
      <c r="B14179" s="3" t="str">
        <f>"201009000212"</f>
        <v>201009000212</v>
      </c>
    </row>
    <row r="14180" spans="1:2" x14ac:dyDescent="0.25">
      <c r="A14180" s="4">
        <v>14175</v>
      </c>
      <c r="B14180" s="3" t="str">
        <f>"201010000062"</f>
        <v>201010000062</v>
      </c>
    </row>
    <row r="14181" spans="1:2" x14ac:dyDescent="0.25">
      <c r="A14181" s="4">
        <v>14176</v>
      </c>
      <c r="B14181" s="3" t="str">
        <f>"201010000077"</f>
        <v>201010000077</v>
      </c>
    </row>
    <row r="14182" spans="1:2" x14ac:dyDescent="0.25">
      <c r="A14182" s="4">
        <v>14177</v>
      </c>
      <c r="B14182" s="3" t="str">
        <f>"201010000160"</f>
        <v>201010000160</v>
      </c>
    </row>
    <row r="14183" spans="1:2" x14ac:dyDescent="0.25">
      <c r="A14183" s="4">
        <v>14178</v>
      </c>
      <c r="B14183" s="3" t="str">
        <f>"201011000187"</f>
        <v>201011000187</v>
      </c>
    </row>
    <row r="14184" spans="1:2" x14ac:dyDescent="0.25">
      <c r="A14184" s="4">
        <v>14179</v>
      </c>
      <c r="B14184" s="3" t="str">
        <f>"201012000088"</f>
        <v>201012000088</v>
      </c>
    </row>
    <row r="14185" spans="1:2" x14ac:dyDescent="0.25">
      <c r="A14185" s="4">
        <v>14180</v>
      </c>
      <c r="B14185" s="3" t="str">
        <f>"201101000028"</f>
        <v>201101000028</v>
      </c>
    </row>
    <row r="14186" spans="1:2" x14ac:dyDescent="0.25">
      <c r="A14186" s="4">
        <v>14181</v>
      </c>
      <c r="B14186" s="3" t="str">
        <f>"201101000030"</f>
        <v>201101000030</v>
      </c>
    </row>
    <row r="14187" spans="1:2" x14ac:dyDescent="0.25">
      <c r="A14187" s="4">
        <v>14182</v>
      </c>
      <c r="B14187" s="3" t="str">
        <f>"201101000057"</f>
        <v>201101000057</v>
      </c>
    </row>
    <row r="14188" spans="1:2" x14ac:dyDescent="0.25">
      <c r="A14188" s="4">
        <v>14183</v>
      </c>
      <c r="B14188" s="3" t="str">
        <f>"201101000232"</f>
        <v>201101000232</v>
      </c>
    </row>
    <row r="14189" spans="1:2" x14ac:dyDescent="0.25">
      <c r="A14189" s="4">
        <v>14184</v>
      </c>
      <c r="B14189" s="3" t="str">
        <f>"201101000261"</f>
        <v>201101000261</v>
      </c>
    </row>
    <row r="14190" spans="1:2" x14ac:dyDescent="0.25">
      <c r="A14190" s="4">
        <v>14185</v>
      </c>
      <c r="B14190" s="3" t="str">
        <f>"201101000303"</f>
        <v>201101000303</v>
      </c>
    </row>
    <row r="14191" spans="1:2" x14ac:dyDescent="0.25">
      <c r="A14191" s="4">
        <v>14186</v>
      </c>
      <c r="B14191" s="3" t="str">
        <f>"201102000062"</f>
        <v>201102000062</v>
      </c>
    </row>
    <row r="14192" spans="1:2" x14ac:dyDescent="0.25">
      <c r="A14192" s="4">
        <v>14187</v>
      </c>
      <c r="B14192" s="3" t="str">
        <f>"201102000178"</f>
        <v>201102000178</v>
      </c>
    </row>
    <row r="14193" spans="1:2" x14ac:dyDescent="0.25">
      <c r="A14193" s="4">
        <v>14188</v>
      </c>
      <c r="B14193" s="3" t="str">
        <f>"201102000185"</f>
        <v>201102000185</v>
      </c>
    </row>
    <row r="14194" spans="1:2" x14ac:dyDescent="0.25">
      <c r="A14194" s="4">
        <v>14189</v>
      </c>
      <c r="B14194" s="3" t="str">
        <f>"201102000197"</f>
        <v>201102000197</v>
      </c>
    </row>
    <row r="14195" spans="1:2" x14ac:dyDescent="0.25">
      <c r="A14195" s="4">
        <v>14190</v>
      </c>
      <c r="B14195" s="3" t="str">
        <f>"201102000246"</f>
        <v>201102000246</v>
      </c>
    </row>
    <row r="14196" spans="1:2" x14ac:dyDescent="0.25">
      <c r="A14196" s="4">
        <v>14191</v>
      </c>
      <c r="B14196" s="3" t="str">
        <f>"201102000267"</f>
        <v>201102000267</v>
      </c>
    </row>
    <row r="14197" spans="1:2" x14ac:dyDescent="0.25">
      <c r="A14197" s="4">
        <v>14192</v>
      </c>
      <c r="B14197" s="3" t="str">
        <f>"201102000329"</f>
        <v>201102000329</v>
      </c>
    </row>
    <row r="14198" spans="1:2" x14ac:dyDescent="0.25">
      <c r="A14198" s="4">
        <v>14193</v>
      </c>
      <c r="B14198" s="3" t="str">
        <f>"201102000338"</f>
        <v>201102000338</v>
      </c>
    </row>
    <row r="14199" spans="1:2" x14ac:dyDescent="0.25">
      <c r="A14199" s="4">
        <v>14194</v>
      </c>
      <c r="B14199" s="3" t="str">
        <f>"201102000409"</f>
        <v>201102000409</v>
      </c>
    </row>
    <row r="14200" spans="1:2" x14ac:dyDescent="0.25">
      <c r="A14200" s="4">
        <v>14195</v>
      </c>
      <c r="B14200" s="3" t="str">
        <f>"201102000421"</f>
        <v>201102000421</v>
      </c>
    </row>
    <row r="14201" spans="1:2" x14ac:dyDescent="0.25">
      <c r="A14201" s="4">
        <v>14196</v>
      </c>
      <c r="B14201" s="3" t="str">
        <f>"201102000429"</f>
        <v>201102000429</v>
      </c>
    </row>
    <row r="14202" spans="1:2" x14ac:dyDescent="0.25">
      <c r="A14202" s="4">
        <v>14197</v>
      </c>
      <c r="B14202" s="3" t="str">
        <f>"201102000466"</f>
        <v>201102000466</v>
      </c>
    </row>
    <row r="14203" spans="1:2" x14ac:dyDescent="0.25">
      <c r="A14203" s="4">
        <v>14198</v>
      </c>
      <c r="B14203" s="3" t="str">
        <f>"201102000476"</f>
        <v>201102000476</v>
      </c>
    </row>
    <row r="14204" spans="1:2" x14ac:dyDescent="0.25">
      <c r="A14204" s="4">
        <v>14199</v>
      </c>
      <c r="B14204" s="3" t="str">
        <f>"201102000497"</f>
        <v>201102000497</v>
      </c>
    </row>
    <row r="14205" spans="1:2" x14ac:dyDescent="0.25">
      <c r="A14205" s="4">
        <v>14200</v>
      </c>
      <c r="B14205" s="3" t="str">
        <f>"201102000511"</f>
        <v>201102000511</v>
      </c>
    </row>
    <row r="14206" spans="1:2" x14ac:dyDescent="0.25">
      <c r="A14206" s="4">
        <v>14201</v>
      </c>
      <c r="B14206" s="3" t="str">
        <f>"201102000521"</f>
        <v>201102000521</v>
      </c>
    </row>
    <row r="14207" spans="1:2" x14ac:dyDescent="0.25">
      <c r="A14207" s="4">
        <v>14202</v>
      </c>
      <c r="B14207" s="3" t="str">
        <f>"201102000532"</f>
        <v>201102000532</v>
      </c>
    </row>
    <row r="14208" spans="1:2" x14ac:dyDescent="0.25">
      <c r="A14208" s="4">
        <v>14203</v>
      </c>
      <c r="B14208" s="3" t="str">
        <f>"201102000567"</f>
        <v>201102000567</v>
      </c>
    </row>
    <row r="14209" spans="1:2" x14ac:dyDescent="0.25">
      <c r="A14209" s="4">
        <v>14204</v>
      </c>
      <c r="B14209" s="3" t="str">
        <f>"201102000650"</f>
        <v>201102000650</v>
      </c>
    </row>
    <row r="14210" spans="1:2" x14ac:dyDescent="0.25">
      <c r="A14210" s="4">
        <v>14205</v>
      </c>
      <c r="B14210" s="3" t="str">
        <f>"201102000700"</f>
        <v>201102000700</v>
      </c>
    </row>
    <row r="14211" spans="1:2" x14ac:dyDescent="0.25">
      <c r="A14211" s="4">
        <v>14206</v>
      </c>
      <c r="B14211" s="3" t="str">
        <f>"201102000764"</f>
        <v>201102000764</v>
      </c>
    </row>
    <row r="14212" spans="1:2" x14ac:dyDescent="0.25">
      <c r="A14212" s="4">
        <v>14207</v>
      </c>
      <c r="B14212" s="3" t="str">
        <f>"201102000814"</f>
        <v>201102000814</v>
      </c>
    </row>
    <row r="14213" spans="1:2" x14ac:dyDescent="0.25">
      <c r="A14213" s="4">
        <v>14208</v>
      </c>
      <c r="B14213" s="3" t="str">
        <f>"201102000822"</f>
        <v>201102000822</v>
      </c>
    </row>
    <row r="14214" spans="1:2" x14ac:dyDescent="0.25">
      <c r="A14214" s="4">
        <v>14209</v>
      </c>
      <c r="B14214" s="3" t="str">
        <f>"201102000910"</f>
        <v>201102000910</v>
      </c>
    </row>
    <row r="14215" spans="1:2" x14ac:dyDescent="0.25">
      <c r="A14215" s="4">
        <v>14210</v>
      </c>
      <c r="B14215" s="3" t="str">
        <f>"201102000958"</f>
        <v>201102000958</v>
      </c>
    </row>
    <row r="14216" spans="1:2" x14ac:dyDescent="0.25">
      <c r="A14216" s="4">
        <v>14211</v>
      </c>
      <c r="B14216" s="3" t="str">
        <f>"201102001013"</f>
        <v>201102001013</v>
      </c>
    </row>
    <row r="14217" spans="1:2" x14ac:dyDescent="0.25">
      <c r="A14217" s="4">
        <v>14212</v>
      </c>
      <c r="B14217" s="3" t="str">
        <f>"201103000046"</f>
        <v>201103000046</v>
      </c>
    </row>
    <row r="14218" spans="1:2" x14ac:dyDescent="0.25">
      <c r="A14218" s="4">
        <v>14213</v>
      </c>
      <c r="B14218" s="3" t="str">
        <f>"201103000051"</f>
        <v>201103000051</v>
      </c>
    </row>
    <row r="14219" spans="1:2" x14ac:dyDescent="0.25">
      <c r="A14219" s="4">
        <v>14214</v>
      </c>
      <c r="B14219" s="3" t="str">
        <f>"201103000065"</f>
        <v>201103000065</v>
      </c>
    </row>
    <row r="14220" spans="1:2" x14ac:dyDescent="0.25">
      <c r="A14220" s="4">
        <v>14215</v>
      </c>
      <c r="B14220" s="3" t="str">
        <f>"201103000091"</f>
        <v>201103000091</v>
      </c>
    </row>
    <row r="14221" spans="1:2" x14ac:dyDescent="0.25">
      <c r="A14221" s="4">
        <v>14216</v>
      </c>
      <c r="B14221" s="3" t="str">
        <f>"201103000123"</f>
        <v>201103000123</v>
      </c>
    </row>
    <row r="14222" spans="1:2" x14ac:dyDescent="0.25">
      <c r="A14222" s="4">
        <v>14217</v>
      </c>
      <c r="B14222" s="3" t="str">
        <f>"201103000133"</f>
        <v>201103000133</v>
      </c>
    </row>
    <row r="14223" spans="1:2" x14ac:dyDescent="0.25">
      <c r="A14223" s="4">
        <v>14218</v>
      </c>
      <c r="B14223" s="3" t="str">
        <f>"201103000139"</f>
        <v>201103000139</v>
      </c>
    </row>
    <row r="14224" spans="1:2" x14ac:dyDescent="0.25">
      <c r="A14224" s="4">
        <v>14219</v>
      </c>
      <c r="B14224" s="3" t="str">
        <f>"201103000150"</f>
        <v>201103000150</v>
      </c>
    </row>
    <row r="14225" spans="1:2" x14ac:dyDescent="0.25">
      <c r="A14225" s="4">
        <v>14220</v>
      </c>
      <c r="B14225" s="3" t="str">
        <f>"201103000183"</f>
        <v>201103000183</v>
      </c>
    </row>
    <row r="14226" spans="1:2" x14ac:dyDescent="0.25">
      <c r="A14226" s="4">
        <v>14221</v>
      </c>
      <c r="B14226" s="3" t="str">
        <f>"201103000194"</f>
        <v>201103000194</v>
      </c>
    </row>
    <row r="14227" spans="1:2" x14ac:dyDescent="0.25">
      <c r="A14227" s="4">
        <v>14222</v>
      </c>
      <c r="B14227" s="3" t="str">
        <f>"201103000198"</f>
        <v>201103000198</v>
      </c>
    </row>
    <row r="14228" spans="1:2" x14ac:dyDescent="0.25">
      <c r="A14228" s="4">
        <v>14223</v>
      </c>
      <c r="B14228" s="3" t="str">
        <f>"201103000277"</f>
        <v>201103000277</v>
      </c>
    </row>
    <row r="14229" spans="1:2" x14ac:dyDescent="0.25">
      <c r="A14229" s="4">
        <v>14224</v>
      </c>
      <c r="B14229" s="3" t="str">
        <f>"201103000317"</f>
        <v>201103000317</v>
      </c>
    </row>
    <row r="14230" spans="1:2" x14ac:dyDescent="0.25">
      <c r="A14230" s="4">
        <v>14225</v>
      </c>
      <c r="B14230" s="3" t="str">
        <f>"201103000384"</f>
        <v>201103000384</v>
      </c>
    </row>
    <row r="14231" spans="1:2" x14ac:dyDescent="0.25">
      <c r="A14231" s="4">
        <v>14226</v>
      </c>
      <c r="B14231" s="3" t="str">
        <f>"201103000407"</f>
        <v>201103000407</v>
      </c>
    </row>
    <row r="14232" spans="1:2" x14ac:dyDescent="0.25">
      <c r="A14232" s="4">
        <v>14227</v>
      </c>
      <c r="B14232" s="3" t="str">
        <f>"201104000057"</f>
        <v>201104000057</v>
      </c>
    </row>
    <row r="14233" spans="1:2" x14ac:dyDescent="0.25">
      <c r="A14233" s="4">
        <v>14228</v>
      </c>
      <c r="B14233" s="3" t="str">
        <f>"201104000060"</f>
        <v>201104000060</v>
      </c>
    </row>
    <row r="14234" spans="1:2" x14ac:dyDescent="0.25">
      <c r="A14234" s="4">
        <v>14229</v>
      </c>
      <c r="B14234" s="3" t="str">
        <f>"201104000100"</f>
        <v>201104000100</v>
      </c>
    </row>
    <row r="14235" spans="1:2" x14ac:dyDescent="0.25">
      <c r="A14235" s="4">
        <v>14230</v>
      </c>
      <c r="B14235" s="3" t="str">
        <f>"201104000181"</f>
        <v>201104000181</v>
      </c>
    </row>
    <row r="14236" spans="1:2" x14ac:dyDescent="0.25">
      <c r="A14236" s="4">
        <v>14231</v>
      </c>
      <c r="B14236" s="3" t="str">
        <f>"201105000011"</f>
        <v>201105000011</v>
      </c>
    </row>
    <row r="14237" spans="1:2" x14ac:dyDescent="0.25">
      <c r="A14237" s="4">
        <v>14232</v>
      </c>
      <c r="B14237" s="3" t="str">
        <f>"201105000078"</f>
        <v>201105000078</v>
      </c>
    </row>
    <row r="14238" spans="1:2" x14ac:dyDescent="0.25">
      <c r="A14238" s="4">
        <v>14233</v>
      </c>
      <c r="B14238" s="3" t="str">
        <f>"201105000164"</f>
        <v>201105000164</v>
      </c>
    </row>
    <row r="14239" spans="1:2" x14ac:dyDescent="0.25">
      <c r="A14239" s="4">
        <v>14234</v>
      </c>
      <c r="B14239" s="3" t="str">
        <f>"201106000096"</f>
        <v>201106000096</v>
      </c>
    </row>
    <row r="14240" spans="1:2" x14ac:dyDescent="0.25">
      <c r="A14240" s="4">
        <v>14235</v>
      </c>
      <c r="B14240" s="3" t="str">
        <f>"201107000031"</f>
        <v>201107000031</v>
      </c>
    </row>
    <row r="14241" spans="1:2" x14ac:dyDescent="0.25">
      <c r="A14241" s="4">
        <v>14236</v>
      </c>
      <c r="B14241" s="3" t="str">
        <f>"201108000017"</f>
        <v>201108000017</v>
      </c>
    </row>
    <row r="14242" spans="1:2" x14ac:dyDescent="0.25">
      <c r="A14242" s="4">
        <v>14237</v>
      </c>
      <c r="B14242" s="3" t="str">
        <f>"201108000061"</f>
        <v>201108000061</v>
      </c>
    </row>
    <row r="14243" spans="1:2" x14ac:dyDescent="0.25">
      <c r="A14243" s="4">
        <v>14238</v>
      </c>
      <c r="B14243" s="3" t="str">
        <f>"201108000072"</f>
        <v>201108000072</v>
      </c>
    </row>
    <row r="14244" spans="1:2" x14ac:dyDescent="0.25">
      <c r="A14244" s="4">
        <v>14239</v>
      </c>
      <c r="B14244" s="3" t="str">
        <f>"201108000131"</f>
        <v>201108000131</v>
      </c>
    </row>
    <row r="14245" spans="1:2" x14ac:dyDescent="0.25">
      <c r="A14245" s="4">
        <v>14240</v>
      </c>
      <c r="B14245" s="3" t="str">
        <f>"201109000012"</f>
        <v>201109000012</v>
      </c>
    </row>
    <row r="14246" spans="1:2" x14ac:dyDescent="0.25">
      <c r="A14246" s="4">
        <v>14241</v>
      </c>
      <c r="B14246" s="3" t="str">
        <f>"201109000080"</f>
        <v>201109000080</v>
      </c>
    </row>
    <row r="14247" spans="1:2" x14ac:dyDescent="0.25">
      <c r="A14247" s="4">
        <v>14242</v>
      </c>
      <c r="B14247" s="3" t="str">
        <f>"201109000125"</f>
        <v>201109000125</v>
      </c>
    </row>
    <row r="14248" spans="1:2" x14ac:dyDescent="0.25">
      <c r="A14248" s="4">
        <v>14243</v>
      </c>
      <c r="B14248" s="3" t="str">
        <f>"201109000150"</f>
        <v>201109000150</v>
      </c>
    </row>
    <row r="14249" spans="1:2" x14ac:dyDescent="0.25">
      <c r="A14249" s="4">
        <v>14244</v>
      </c>
      <c r="B14249" s="3" t="str">
        <f>"201110000023"</f>
        <v>201110000023</v>
      </c>
    </row>
    <row r="14250" spans="1:2" x14ac:dyDescent="0.25">
      <c r="A14250" s="4">
        <v>14245</v>
      </c>
      <c r="B14250" s="3" t="str">
        <f>"201111000019"</f>
        <v>201111000019</v>
      </c>
    </row>
    <row r="14251" spans="1:2" x14ac:dyDescent="0.25">
      <c r="A14251" s="4">
        <v>14246</v>
      </c>
      <c r="B14251" s="3" t="str">
        <f>"201111000073"</f>
        <v>201111000073</v>
      </c>
    </row>
    <row r="14252" spans="1:2" x14ac:dyDescent="0.25">
      <c r="A14252" s="4">
        <v>14247</v>
      </c>
      <c r="B14252" s="3" t="str">
        <f>"201112000005"</f>
        <v>201112000005</v>
      </c>
    </row>
    <row r="14253" spans="1:2" x14ac:dyDescent="0.25">
      <c r="A14253" s="4">
        <v>14248</v>
      </c>
      <c r="B14253" s="3" t="str">
        <f>"201112000053"</f>
        <v>201112000053</v>
      </c>
    </row>
    <row r="14254" spans="1:2" x14ac:dyDescent="0.25">
      <c r="A14254" s="4">
        <v>14249</v>
      </c>
      <c r="B14254" s="3" t="str">
        <f>"201112000066"</f>
        <v>201112000066</v>
      </c>
    </row>
    <row r="14255" spans="1:2" x14ac:dyDescent="0.25">
      <c r="A14255" s="4">
        <v>14250</v>
      </c>
      <c r="B14255" s="3" t="str">
        <f>"201201000112"</f>
        <v>201201000112</v>
      </c>
    </row>
    <row r="14256" spans="1:2" x14ac:dyDescent="0.25">
      <c r="A14256" s="4">
        <v>14251</v>
      </c>
      <c r="B14256" s="3" t="str">
        <f>"201201000134"</f>
        <v>201201000134</v>
      </c>
    </row>
    <row r="14257" spans="1:2" x14ac:dyDescent="0.25">
      <c r="A14257" s="4">
        <v>14252</v>
      </c>
      <c r="B14257" s="3" t="str">
        <f>"201201000144"</f>
        <v>201201000144</v>
      </c>
    </row>
    <row r="14258" spans="1:2" x14ac:dyDescent="0.25">
      <c r="A14258" s="4">
        <v>14253</v>
      </c>
      <c r="B14258" s="3" t="str">
        <f>"201201000147"</f>
        <v>201201000147</v>
      </c>
    </row>
    <row r="14259" spans="1:2" x14ac:dyDescent="0.25">
      <c r="A14259" s="4">
        <v>14254</v>
      </c>
      <c r="B14259" s="3" t="str">
        <f>"201202000016"</f>
        <v>201202000016</v>
      </c>
    </row>
    <row r="14260" spans="1:2" x14ac:dyDescent="0.25">
      <c r="A14260" s="4">
        <v>14255</v>
      </c>
      <c r="B14260" s="3" t="str">
        <f>"201203000013"</f>
        <v>201203000013</v>
      </c>
    </row>
    <row r="14261" spans="1:2" x14ac:dyDescent="0.25">
      <c r="A14261" s="4">
        <v>14256</v>
      </c>
      <c r="B14261" s="3" t="str">
        <f>"201203000106"</f>
        <v>201203000106</v>
      </c>
    </row>
    <row r="14262" spans="1:2" x14ac:dyDescent="0.25">
      <c r="A14262" s="4">
        <v>14257</v>
      </c>
      <c r="B14262" s="3" t="str">
        <f>"201204000019"</f>
        <v>201204000019</v>
      </c>
    </row>
    <row r="14263" spans="1:2" x14ac:dyDescent="0.25">
      <c r="A14263" s="4">
        <v>14258</v>
      </c>
      <c r="B14263" s="3" t="str">
        <f>"201204000098"</f>
        <v>201204000098</v>
      </c>
    </row>
    <row r="14264" spans="1:2" x14ac:dyDescent="0.25">
      <c r="A14264" s="4">
        <v>14259</v>
      </c>
      <c r="B14264" s="3" t="str">
        <f>"201204000100"</f>
        <v>201204000100</v>
      </c>
    </row>
    <row r="14265" spans="1:2" x14ac:dyDescent="0.25">
      <c r="A14265" s="4">
        <v>14260</v>
      </c>
      <c r="B14265" s="3" t="str">
        <f>"201205000065"</f>
        <v>201205000065</v>
      </c>
    </row>
    <row r="14266" spans="1:2" x14ac:dyDescent="0.25">
      <c r="A14266" s="4">
        <v>14261</v>
      </c>
      <c r="B14266" s="3" t="str">
        <f>"201206000005"</f>
        <v>201206000005</v>
      </c>
    </row>
    <row r="14267" spans="1:2" x14ac:dyDescent="0.25">
      <c r="A14267" s="4">
        <v>14262</v>
      </c>
      <c r="B14267" s="3" t="str">
        <f>"201206000082"</f>
        <v>201206000082</v>
      </c>
    </row>
    <row r="14268" spans="1:2" x14ac:dyDescent="0.25">
      <c r="A14268" s="4">
        <v>14263</v>
      </c>
      <c r="B14268" s="3" t="str">
        <f>"201206000085"</f>
        <v>201206000085</v>
      </c>
    </row>
    <row r="14269" spans="1:2" x14ac:dyDescent="0.25">
      <c r="A14269" s="4">
        <v>14264</v>
      </c>
      <c r="B14269" s="3" t="str">
        <f>"201206000102"</f>
        <v>201206000102</v>
      </c>
    </row>
    <row r="14270" spans="1:2" x14ac:dyDescent="0.25">
      <c r="A14270" s="4">
        <v>14265</v>
      </c>
      <c r="B14270" s="3" t="str">
        <f>"201206000136"</f>
        <v>201206000136</v>
      </c>
    </row>
    <row r="14271" spans="1:2" x14ac:dyDescent="0.25">
      <c r="A14271" s="4">
        <v>14266</v>
      </c>
      <c r="B14271" s="3" t="str">
        <f>"201208000085"</f>
        <v>201208000085</v>
      </c>
    </row>
    <row r="14272" spans="1:2" x14ac:dyDescent="0.25">
      <c r="A14272" s="4">
        <v>14267</v>
      </c>
      <c r="B14272" s="3" t="str">
        <f>"201208000101"</f>
        <v>201208000101</v>
      </c>
    </row>
    <row r="14273" spans="1:2" x14ac:dyDescent="0.25">
      <c r="A14273" s="4">
        <v>14268</v>
      </c>
      <c r="B14273" s="3" t="str">
        <f>"201208000164"</f>
        <v>201208000164</v>
      </c>
    </row>
    <row r="14274" spans="1:2" x14ac:dyDescent="0.25">
      <c r="A14274" s="4">
        <v>14269</v>
      </c>
      <c r="B14274" s="3" t="str">
        <f>"201209000052"</f>
        <v>201209000052</v>
      </c>
    </row>
    <row r="14275" spans="1:2" x14ac:dyDescent="0.25">
      <c r="A14275" s="4">
        <v>14270</v>
      </c>
      <c r="B14275" s="3" t="str">
        <f>"201209000110"</f>
        <v>201209000110</v>
      </c>
    </row>
    <row r="14276" spans="1:2" x14ac:dyDescent="0.25">
      <c r="A14276" s="4">
        <v>14271</v>
      </c>
      <c r="B14276" s="3" t="str">
        <f>"201209000148"</f>
        <v>201209000148</v>
      </c>
    </row>
    <row r="14277" spans="1:2" x14ac:dyDescent="0.25">
      <c r="A14277" s="4">
        <v>14272</v>
      </c>
      <c r="B14277" s="3" t="str">
        <f>"201209000157"</f>
        <v>201209000157</v>
      </c>
    </row>
    <row r="14278" spans="1:2" x14ac:dyDescent="0.25">
      <c r="A14278" s="4">
        <v>14273</v>
      </c>
      <c r="B14278" s="3" t="str">
        <f>"201211000010"</f>
        <v>201211000010</v>
      </c>
    </row>
    <row r="14279" spans="1:2" x14ac:dyDescent="0.25">
      <c r="A14279" s="4">
        <v>14274</v>
      </c>
      <c r="B14279" s="3" t="str">
        <f>"201211000024"</f>
        <v>201211000024</v>
      </c>
    </row>
    <row r="14280" spans="1:2" x14ac:dyDescent="0.25">
      <c r="A14280" s="4">
        <v>14275</v>
      </c>
      <c r="B14280" s="3" t="str">
        <f>"201211000056"</f>
        <v>201211000056</v>
      </c>
    </row>
    <row r="14281" spans="1:2" x14ac:dyDescent="0.25">
      <c r="A14281" s="4">
        <v>14276</v>
      </c>
      <c r="B14281" s="3" t="str">
        <f>"201212000057"</f>
        <v>201212000057</v>
      </c>
    </row>
    <row r="14282" spans="1:2" x14ac:dyDescent="0.25">
      <c r="A14282" s="4">
        <v>14277</v>
      </c>
      <c r="B14282" s="3" t="str">
        <f>"201212000079"</f>
        <v>201212000079</v>
      </c>
    </row>
    <row r="14283" spans="1:2" x14ac:dyDescent="0.25">
      <c r="A14283" s="4">
        <v>14278</v>
      </c>
      <c r="B14283" s="3" t="str">
        <f>"201302000035"</f>
        <v>201302000035</v>
      </c>
    </row>
    <row r="14284" spans="1:2" x14ac:dyDescent="0.25">
      <c r="A14284" s="4">
        <v>14279</v>
      </c>
      <c r="B14284" s="3" t="str">
        <f>"201302000066"</f>
        <v>201302000066</v>
      </c>
    </row>
    <row r="14285" spans="1:2" x14ac:dyDescent="0.25">
      <c r="A14285" s="4">
        <v>14280</v>
      </c>
      <c r="B14285" s="3" t="str">
        <f>"201302000076"</f>
        <v>201302000076</v>
      </c>
    </row>
    <row r="14286" spans="1:2" x14ac:dyDescent="0.25">
      <c r="A14286" s="4">
        <v>14281</v>
      </c>
      <c r="B14286" s="3" t="str">
        <f>"201302000121"</f>
        <v>201302000121</v>
      </c>
    </row>
    <row r="14287" spans="1:2" x14ac:dyDescent="0.25">
      <c r="A14287" s="4">
        <v>14282</v>
      </c>
      <c r="B14287" s="3" t="str">
        <f>"201303000136"</f>
        <v>201303000136</v>
      </c>
    </row>
    <row r="14288" spans="1:2" x14ac:dyDescent="0.25">
      <c r="A14288" s="4">
        <v>14283</v>
      </c>
      <c r="B14288" s="3" t="str">
        <f>"201303000190"</f>
        <v>201303000190</v>
      </c>
    </row>
    <row r="14289" spans="1:2" x14ac:dyDescent="0.25">
      <c r="A14289" s="4">
        <v>14284</v>
      </c>
      <c r="B14289" s="3" t="str">
        <f>"201303000588"</f>
        <v>201303000588</v>
      </c>
    </row>
    <row r="14290" spans="1:2" x14ac:dyDescent="0.25">
      <c r="A14290" s="4">
        <v>14285</v>
      </c>
      <c r="B14290" s="3" t="str">
        <f>"201304002913"</f>
        <v>201304002913</v>
      </c>
    </row>
    <row r="14291" spans="1:2" x14ac:dyDescent="0.25">
      <c r="A14291" s="4">
        <v>14286</v>
      </c>
      <c r="B14291" s="3" t="str">
        <f>"201304003120"</f>
        <v>201304003120</v>
      </c>
    </row>
    <row r="14292" spans="1:2" x14ac:dyDescent="0.25">
      <c r="A14292" s="4">
        <v>14287</v>
      </c>
      <c r="B14292" s="3" t="str">
        <f>"201305000101"</f>
        <v>201305000101</v>
      </c>
    </row>
    <row r="14293" spans="1:2" x14ac:dyDescent="0.25">
      <c r="A14293" s="4">
        <v>14288</v>
      </c>
      <c r="B14293" s="3" t="str">
        <f>"201306000015"</f>
        <v>201306000015</v>
      </c>
    </row>
    <row r="14294" spans="1:2" x14ac:dyDescent="0.25">
      <c r="A14294" s="4">
        <v>14289</v>
      </c>
      <c r="B14294" s="3" t="str">
        <f>"201306000078"</f>
        <v>201306000078</v>
      </c>
    </row>
    <row r="14295" spans="1:2" x14ac:dyDescent="0.25">
      <c r="A14295" s="4">
        <v>14290</v>
      </c>
      <c r="B14295" s="3" t="str">
        <f>"201307000042"</f>
        <v>201307000042</v>
      </c>
    </row>
    <row r="14296" spans="1:2" x14ac:dyDescent="0.25">
      <c r="A14296" s="4">
        <v>14291</v>
      </c>
      <c r="B14296" s="3" t="str">
        <f>"201307000078"</f>
        <v>201307000078</v>
      </c>
    </row>
    <row r="14297" spans="1:2" x14ac:dyDescent="0.25">
      <c r="A14297" s="4">
        <v>14292</v>
      </c>
      <c r="B14297" s="3" t="str">
        <f>"201308000016"</f>
        <v>201308000016</v>
      </c>
    </row>
    <row r="14298" spans="1:2" x14ac:dyDescent="0.25">
      <c r="A14298" s="4">
        <v>14293</v>
      </c>
      <c r="B14298" s="3" t="str">
        <f>"201308000033"</f>
        <v>201308000033</v>
      </c>
    </row>
    <row r="14299" spans="1:2" x14ac:dyDescent="0.25">
      <c r="A14299" s="4">
        <v>14294</v>
      </c>
      <c r="B14299" s="3" t="str">
        <f>"201308000049"</f>
        <v>201308000049</v>
      </c>
    </row>
    <row r="14300" spans="1:2" x14ac:dyDescent="0.25">
      <c r="A14300" s="4">
        <v>14295</v>
      </c>
      <c r="B14300" s="3" t="str">
        <f>"201308000073"</f>
        <v>201308000073</v>
      </c>
    </row>
    <row r="14301" spans="1:2" x14ac:dyDescent="0.25">
      <c r="A14301" s="4">
        <v>14296</v>
      </c>
      <c r="B14301" s="3" t="str">
        <f>"201308000086"</f>
        <v>201308000086</v>
      </c>
    </row>
    <row r="14302" spans="1:2" x14ac:dyDescent="0.25">
      <c r="A14302" s="4">
        <v>14297</v>
      </c>
      <c r="B14302" s="3" t="str">
        <f>"201309000093"</f>
        <v>201309000093</v>
      </c>
    </row>
    <row r="14303" spans="1:2" x14ac:dyDescent="0.25">
      <c r="A14303" s="4">
        <v>14298</v>
      </c>
      <c r="B14303" s="3" t="str">
        <f>"201310000053"</f>
        <v>201310000053</v>
      </c>
    </row>
    <row r="14304" spans="1:2" x14ac:dyDescent="0.25">
      <c r="A14304" s="4">
        <v>14299</v>
      </c>
      <c r="B14304" s="3" t="str">
        <f>"201310000062"</f>
        <v>201310000062</v>
      </c>
    </row>
    <row r="14305" spans="1:2" x14ac:dyDescent="0.25">
      <c r="A14305" s="4">
        <v>14300</v>
      </c>
      <c r="B14305" s="3" t="str">
        <f>"201311000021"</f>
        <v>201311000021</v>
      </c>
    </row>
    <row r="14306" spans="1:2" x14ac:dyDescent="0.25">
      <c r="A14306" s="4">
        <v>14301</v>
      </c>
      <c r="B14306" s="3" t="str">
        <f>"201311000031"</f>
        <v>201311000031</v>
      </c>
    </row>
    <row r="14307" spans="1:2" x14ac:dyDescent="0.25">
      <c r="A14307" s="4">
        <v>14302</v>
      </c>
      <c r="B14307" s="3" t="str">
        <f>"201401000168"</f>
        <v>201401000168</v>
      </c>
    </row>
    <row r="14308" spans="1:2" x14ac:dyDescent="0.25">
      <c r="A14308" s="4">
        <v>14303</v>
      </c>
      <c r="B14308" s="3" t="str">
        <f>"201401000242"</f>
        <v>201401000242</v>
      </c>
    </row>
    <row r="14309" spans="1:2" x14ac:dyDescent="0.25">
      <c r="A14309" s="4">
        <v>14304</v>
      </c>
      <c r="B14309" s="3" t="str">
        <f>"201401000353"</f>
        <v>201401000353</v>
      </c>
    </row>
    <row r="14310" spans="1:2" x14ac:dyDescent="0.25">
      <c r="A14310" s="4">
        <v>14305</v>
      </c>
      <c r="B14310" s="3" t="str">
        <f>"201401000736"</f>
        <v>201401000736</v>
      </c>
    </row>
    <row r="14311" spans="1:2" x14ac:dyDescent="0.25">
      <c r="A14311" s="4">
        <v>14306</v>
      </c>
      <c r="B14311" s="3" t="str">
        <f>"201401000825"</f>
        <v>201401000825</v>
      </c>
    </row>
    <row r="14312" spans="1:2" x14ac:dyDescent="0.25">
      <c r="A14312" s="4">
        <v>14307</v>
      </c>
      <c r="B14312" s="3" t="str">
        <f>"201401000829"</f>
        <v>201401000829</v>
      </c>
    </row>
    <row r="14313" spans="1:2" x14ac:dyDescent="0.25">
      <c r="A14313" s="4">
        <v>14308</v>
      </c>
      <c r="B14313" s="3" t="str">
        <f>"201401000851"</f>
        <v>201401000851</v>
      </c>
    </row>
    <row r="14314" spans="1:2" x14ac:dyDescent="0.25">
      <c r="A14314" s="4">
        <v>14309</v>
      </c>
      <c r="B14314" s="3" t="str">
        <f>"201401000909"</f>
        <v>201401000909</v>
      </c>
    </row>
    <row r="14315" spans="1:2" x14ac:dyDescent="0.25">
      <c r="A14315" s="4">
        <v>14310</v>
      </c>
      <c r="B14315" s="3" t="str">
        <f>"201401001069"</f>
        <v>201401001069</v>
      </c>
    </row>
    <row r="14316" spans="1:2" x14ac:dyDescent="0.25">
      <c r="A14316" s="4">
        <v>14311</v>
      </c>
      <c r="B14316" s="3" t="str">
        <f>"201401001167"</f>
        <v>201401001167</v>
      </c>
    </row>
    <row r="14317" spans="1:2" x14ac:dyDescent="0.25">
      <c r="A14317" s="4">
        <v>14312</v>
      </c>
      <c r="B14317" s="3" t="str">
        <f>"201401001429"</f>
        <v>201401001429</v>
      </c>
    </row>
    <row r="14318" spans="1:2" x14ac:dyDescent="0.25">
      <c r="A14318" s="4">
        <v>14313</v>
      </c>
      <c r="B14318" s="3" t="str">
        <f>"201401002092"</f>
        <v>201401002092</v>
      </c>
    </row>
    <row r="14319" spans="1:2" x14ac:dyDescent="0.25">
      <c r="A14319" s="4">
        <v>14314</v>
      </c>
      <c r="B14319" s="3" t="str">
        <f>"201401002108"</f>
        <v>201401002108</v>
      </c>
    </row>
    <row r="14320" spans="1:2" x14ac:dyDescent="0.25">
      <c r="A14320" s="4">
        <v>14315</v>
      </c>
      <c r="B14320" s="3" t="str">
        <f>"201401002111"</f>
        <v>201401002111</v>
      </c>
    </row>
    <row r="14321" spans="1:2" x14ac:dyDescent="0.25">
      <c r="A14321" s="4">
        <v>14316</v>
      </c>
      <c r="B14321" s="3" t="str">
        <f>"201401002615"</f>
        <v>201401002615</v>
      </c>
    </row>
    <row r="14322" spans="1:2" x14ac:dyDescent="0.25">
      <c r="A14322" s="4">
        <v>14317</v>
      </c>
      <c r="B14322" s="3" t="str">
        <f>"201401002663"</f>
        <v>201401002663</v>
      </c>
    </row>
    <row r="14323" spans="1:2" x14ac:dyDescent="0.25">
      <c r="A14323" s="4">
        <v>14318</v>
      </c>
      <c r="B14323" s="3" t="str">
        <f>"201402000362"</f>
        <v>201402000362</v>
      </c>
    </row>
    <row r="14324" spans="1:2" x14ac:dyDescent="0.25">
      <c r="A14324" s="4">
        <v>14319</v>
      </c>
      <c r="B14324" s="3" t="str">
        <f>"201402000507"</f>
        <v>201402000507</v>
      </c>
    </row>
    <row r="14325" spans="1:2" x14ac:dyDescent="0.25">
      <c r="A14325" s="4">
        <v>14320</v>
      </c>
      <c r="B14325" s="3" t="str">
        <f>"201402000642"</f>
        <v>201402000642</v>
      </c>
    </row>
    <row r="14326" spans="1:2" x14ac:dyDescent="0.25">
      <c r="A14326" s="4">
        <v>14321</v>
      </c>
      <c r="B14326" s="3" t="str">
        <f>"201402000951"</f>
        <v>201402000951</v>
      </c>
    </row>
    <row r="14327" spans="1:2" x14ac:dyDescent="0.25">
      <c r="A14327" s="4">
        <v>14322</v>
      </c>
      <c r="B14327" s="3" t="str">
        <f>"201402001168"</f>
        <v>201402001168</v>
      </c>
    </row>
    <row r="14328" spans="1:2" x14ac:dyDescent="0.25">
      <c r="A14328" s="4">
        <v>14323</v>
      </c>
      <c r="B14328" s="3" t="str">
        <f>"201402001409"</f>
        <v>201402001409</v>
      </c>
    </row>
    <row r="14329" spans="1:2" x14ac:dyDescent="0.25">
      <c r="A14329" s="4">
        <v>14324</v>
      </c>
      <c r="B14329" s="3" t="str">
        <f>"201402001526"</f>
        <v>201402001526</v>
      </c>
    </row>
    <row r="14330" spans="1:2" x14ac:dyDescent="0.25">
      <c r="A14330" s="4">
        <v>14325</v>
      </c>
      <c r="B14330" s="3" t="str">
        <f>"201402001666"</f>
        <v>201402001666</v>
      </c>
    </row>
    <row r="14331" spans="1:2" x14ac:dyDescent="0.25">
      <c r="A14331" s="4">
        <v>14326</v>
      </c>
      <c r="B14331" s="3" t="str">
        <f>"201402001921"</f>
        <v>201402001921</v>
      </c>
    </row>
    <row r="14332" spans="1:2" x14ac:dyDescent="0.25">
      <c r="A14332" s="4">
        <v>14327</v>
      </c>
      <c r="B14332" s="3" t="str">
        <f>"201402001954"</f>
        <v>201402001954</v>
      </c>
    </row>
    <row r="14333" spans="1:2" x14ac:dyDescent="0.25">
      <c r="A14333" s="4">
        <v>14328</v>
      </c>
      <c r="B14333" s="3" t="str">
        <f>"201402002070"</f>
        <v>201402002070</v>
      </c>
    </row>
    <row r="14334" spans="1:2" x14ac:dyDescent="0.25">
      <c r="A14334" s="4">
        <v>14329</v>
      </c>
      <c r="B14334" s="3" t="str">
        <f>"201402002080"</f>
        <v>201402002080</v>
      </c>
    </row>
    <row r="14335" spans="1:2" x14ac:dyDescent="0.25">
      <c r="A14335" s="4">
        <v>14330</v>
      </c>
      <c r="B14335" s="3" t="str">
        <f>"201402002088"</f>
        <v>201402002088</v>
      </c>
    </row>
    <row r="14336" spans="1:2" x14ac:dyDescent="0.25">
      <c r="A14336" s="4">
        <v>14331</v>
      </c>
      <c r="B14336" s="3" t="str">
        <f>"201402002438"</f>
        <v>201402002438</v>
      </c>
    </row>
    <row r="14337" spans="1:2" x14ac:dyDescent="0.25">
      <c r="A14337" s="4">
        <v>14332</v>
      </c>
      <c r="B14337" s="3" t="str">
        <f>"201402002448"</f>
        <v>201402002448</v>
      </c>
    </row>
    <row r="14338" spans="1:2" x14ac:dyDescent="0.25">
      <c r="A14338" s="4">
        <v>14333</v>
      </c>
      <c r="B14338" s="3" t="str">
        <f>"201402002456"</f>
        <v>201402002456</v>
      </c>
    </row>
    <row r="14339" spans="1:2" x14ac:dyDescent="0.25">
      <c r="A14339" s="4">
        <v>14334</v>
      </c>
      <c r="B14339" s="3" t="str">
        <f>"201402002920"</f>
        <v>201402002920</v>
      </c>
    </row>
    <row r="14340" spans="1:2" x14ac:dyDescent="0.25">
      <c r="A14340" s="4">
        <v>14335</v>
      </c>
      <c r="B14340" s="3" t="str">
        <f>"201402003127"</f>
        <v>201402003127</v>
      </c>
    </row>
    <row r="14341" spans="1:2" x14ac:dyDescent="0.25">
      <c r="A14341" s="4">
        <v>14336</v>
      </c>
      <c r="B14341" s="3" t="str">
        <f>"201402003141"</f>
        <v>201402003141</v>
      </c>
    </row>
    <row r="14342" spans="1:2" x14ac:dyDescent="0.25">
      <c r="A14342" s="4">
        <v>14337</v>
      </c>
      <c r="B14342" s="3" t="str">
        <f>"201402003152"</f>
        <v>201402003152</v>
      </c>
    </row>
    <row r="14343" spans="1:2" x14ac:dyDescent="0.25">
      <c r="A14343" s="4">
        <v>14338</v>
      </c>
      <c r="B14343" s="3" t="str">
        <f>"201402003162"</f>
        <v>201402003162</v>
      </c>
    </row>
    <row r="14344" spans="1:2" x14ac:dyDescent="0.25">
      <c r="A14344" s="4">
        <v>14339</v>
      </c>
      <c r="B14344" s="3" t="str">
        <f>"201402003607"</f>
        <v>201402003607</v>
      </c>
    </row>
    <row r="14345" spans="1:2" x14ac:dyDescent="0.25">
      <c r="A14345" s="4">
        <v>14340</v>
      </c>
      <c r="B14345" s="3" t="str">
        <f>"201402003654"</f>
        <v>201402003654</v>
      </c>
    </row>
    <row r="14346" spans="1:2" x14ac:dyDescent="0.25">
      <c r="A14346" s="4">
        <v>14341</v>
      </c>
      <c r="B14346" s="3" t="str">
        <f>"201402004156"</f>
        <v>201402004156</v>
      </c>
    </row>
    <row r="14347" spans="1:2" x14ac:dyDescent="0.25">
      <c r="A14347" s="4">
        <v>14342</v>
      </c>
      <c r="B14347" s="3" t="str">
        <f>"201402004340"</f>
        <v>201402004340</v>
      </c>
    </row>
    <row r="14348" spans="1:2" x14ac:dyDescent="0.25">
      <c r="A14348" s="4">
        <v>14343</v>
      </c>
      <c r="B14348" s="3" t="str">
        <f>"201402004938"</f>
        <v>201402004938</v>
      </c>
    </row>
    <row r="14349" spans="1:2" x14ac:dyDescent="0.25">
      <c r="A14349" s="4">
        <v>14344</v>
      </c>
      <c r="B14349" s="3" t="str">
        <f>"201402005012"</f>
        <v>201402005012</v>
      </c>
    </row>
    <row r="14350" spans="1:2" x14ac:dyDescent="0.25">
      <c r="A14350" s="4">
        <v>14345</v>
      </c>
      <c r="B14350" s="3" t="str">
        <f>"201402005018"</f>
        <v>201402005018</v>
      </c>
    </row>
    <row r="14351" spans="1:2" x14ac:dyDescent="0.25">
      <c r="A14351" s="4">
        <v>14346</v>
      </c>
      <c r="B14351" s="3" t="str">
        <f>"201402005140"</f>
        <v>201402005140</v>
      </c>
    </row>
    <row r="14352" spans="1:2" x14ac:dyDescent="0.25">
      <c r="A14352" s="4">
        <v>14347</v>
      </c>
      <c r="B14352" s="3" t="str">
        <f>"201402005439"</f>
        <v>201402005439</v>
      </c>
    </row>
    <row r="14353" spans="1:2" x14ac:dyDescent="0.25">
      <c r="A14353" s="4">
        <v>14348</v>
      </c>
      <c r="B14353" s="3" t="str">
        <f>"201402005700"</f>
        <v>201402005700</v>
      </c>
    </row>
    <row r="14354" spans="1:2" x14ac:dyDescent="0.25">
      <c r="A14354" s="4">
        <v>14349</v>
      </c>
      <c r="B14354" s="3" t="str">
        <f>"201402005703"</f>
        <v>201402005703</v>
      </c>
    </row>
    <row r="14355" spans="1:2" x14ac:dyDescent="0.25">
      <c r="A14355" s="4">
        <v>14350</v>
      </c>
      <c r="B14355" s="3" t="str">
        <f>"201402005759"</f>
        <v>201402005759</v>
      </c>
    </row>
    <row r="14356" spans="1:2" x14ac:dyDescent="0.25">
      <c r="A14356" s="4">
        <v>14351</v>
      </c>
      <c r="B14356" s="3" t="str">
        <f>"201402005781"</f>
        <v>201402005781</v>
      </c>
    </row>
    <row r="14357" spans="1:2" x14ac:dyDescent="0.25">
      <c r="A14357" s="4">
        <v>14352</v>
      </c>
      <c r="B14357" s="3" t="str">
        <f>"201402006200"</f>
        <v>201402006200</v>
      </c>
    </row>
    <row r="14358" spans="1:2" x14ac:dyDescent="0.25">
      <c r="A14358" s="4">
        <v>14353</v>
      </c>
      <c r="B14358" s="3" t="str">
        <f>"201402006202"</f>
        <v>201402006202</v>
      </c>
    </row>
    <row r="14359" spans="1:2" x14ac:dyDescent="0.25">
      <c r="A14359" s="4">
        <v>14354</v>
      </c>
      <c r="B14359" s="3" t="str">
        <f>"201402006210"</f>
        <v>201402006210</v>
      </c>
    </row>
    <row r="14360" spans="1:2" x14ac:dyDescent="0.25">
      <c r="A14360" s="4">
        <v>14355</v>
      </c>
      <c r="B14360" s="3" t="str">
        <f>"201402006214"</f>
        <v>201402006214</v>
      </c>
    </row>
    <row r="14361" spans="1:2" x14ac:dyDescent="0.25">
      <c r="A14361" s="4">
        <v>14356</v>
      </c>
      <c r="B14361" s="3" t="str">
        <f>"201402006351"</f>
        <v>201402006351</v>
      </c>
    </row>
    <row r="14362" spans="1:2" x14ac:dyDescent="0.25">
      <c r="A14362" s="4">
        <v>14357</v>
      </c>
      <c r="B14362" s="3" t="str">
        <f>"201402006418"</f>
        <v>201402006418</v>
      </c>
    </row>
    <row r="14363" spans="1:2" x14ac:dyDescent="0.25">
      <c r="A14363" s="4">
        <v>14358</v>
      </c>
      <c r="B14363" s="3" t="str">
        <f>"201402006622"</f>
        <v>201402006622</v>
      </c>
    </row>
    <row r="14364" spans="1:2" x14ac:dyDescent="0.25">
      <c r="A14364" s="4">
        <v>14359</v>
      </c>
      <c r="B14364" s="3" t="str">
        <f>"201402006656"</f>
        <v>201402006656</v>
      </c>
    </row>
    <row r="14365" spans="1:2" x14ac:dyDescent="0.25">
      <c r="A14365" s="4">
        <v>14360</v>
      </c>
      <c r="B14365" s="3" t="str">
        <f>"201402006867"</f>
        <v>201402006867</v>
      </c>
    </row>
    <row r="14366" spans="1:2" x14ac:dyDescent="0.25">
      <c r="A14366" s="4">
        <v>14361</v>
      </c>
      <c r="B14366" s="3" t="str">
        <f>"201402006874"</f>
        <v>201402006874</v>
      </c>
    </row>
    <row r="14367" spans="1:2" x14ac:dyDescent="0.25">
      <c r="A14367" s="4">
        <v>14362</v>
      </c>
      <c r="B14367" s="3" t="str">
        <f>"201402006956"</f>
        <v>201402006956</v>
      </c>
    </row>
    <row r="14368" spans="1:2" x14ac:dyDescent="0.25">
      <c r="A14368" s="4">
        <v>14363</v>
      </c>
      <c r="B14368" s="3" t="str">
        <f>"201402007164"</f>
        <v>201402007164</v>
      </c>
    </row>
    <row r="14369" spans="1:2" x14ac:dyDescent="0.25">
      <c r="A14369" s="4">
        <v>14364</v>
      </c>
      <c r="B14369" s="3" t="str">
        <f>"201402007382"</f>
        <v>201402007382</v>
      </c>
    </row>
    <row r="14370" spans="1:2" x14ac:dyDescent="0.25">
      <c r="A14370" s="4">
        <v>14365</v>
      </c>
      <c r="B14370" s="3" t="str">
        <f>"201402007520"</f>
        <v>201402007520</v>
      </c>
    </row>
    <row r="14371" spans="1:2" x14ac:dyDescent="0.25">
      <c r="A14371" s="4">
        <v>14366</v>
      </c>
      <c r="B14371" s="3" t="str">
        <f>"201402007549"</f>
        <v>201402007549</v>
      </c>
    </row>
    <row r="14372" spans="1:2" x14ac:dyDescent="0.25">
      <c r="A14372" s="4">
        <v>14367</v>
      </c>
      <c r="B14372" s="3" t="str">
        <f>"201402007557"</f>
        <v>201402007557</v>
      </c>
    </row>
    <row r="14373" spans="1:2" x14ac:dyDescent="0.25">
      <c r="A14373" s="4">
        <v>14368</v>
      </c>
      <c r="B14373" s="3" t="str">
        <f>"201402007684"</f>
        <v>201402007684</v>
      </c>
    </row>
    <row r="14374" spans="1:2" x14ac:dyDescent="0.25">
      <c r="A14374" s="4">
        <v>14369</v>
      </c>
      <c r="B14374" s="3" t="str">
        <f>"201402007833"</f>
        <v>201402007833</v>
      </c>
    </row>
    <row r="14375" spans="1:2" x14ac:dyDescent="0.25">
      <c r="A14375" s="4">
        <v>14370</v>
      </c>
      <c r="B14375" s="3" t="str">
        <f>"201402008087"</f>
        <v>201402008087</v>
      </c>
    </row>
    <row r="14376" spans="1:2" x14ac:dyDescent="0.25">
      <c r="A14376" s="4">
        <v>14371</v>
      </c>
      <c r="B14376" s="3" t="str">
        <f>"201402008150"</f>
        <v>201402008150</v>
      </c>
    </row>
    <row r="14377" spans="1:2" x14ac:dyDescent="0.25">
      <c r="A14377" s="4">
        <v>14372</v>
      </c>
      <c r="B14377" s="3" t="str">
        <f>"201402008163"</f>
        <v>201402008163</v>
      </c>
    </row>
    <row r="14378" spans="1:2" x14ac:dyDescent="0.25">
      <c r="A14378" s="4">
        <v>14373</v>
      </c>
      <c r="B14378" s="3" t="str">
        <f>"201402008167"</f>
        <v>201402008167</v>
      </c>
    </row>
    <row r="14379" spans="1:2" x14ac:dyDescent="0.25">
      <c r="A14379" s="4">
        <v>14374</v>
      </c>
      <c r="B14379" s="3" t="str">
        <f>"201402008414"</f>
        <v>201402008414</v>
      </c>
    </row>
    <row r="14380" spans="1:2" x14ac:dyDescent="0.25">
      <c r="A14380" s="4">
        <v>14375</v>
      </c>
      <c r="B14380" s="3" t="str">
        <f>"201402008453"</f>
        <v>201402008453</v>
      </c>
    </row>
    <row r="14381" spans="1:2" x14ac:dyDescent="0.25">
      <c r="A14381" s="4">
        <v>14376</v>
      </c>
      <c r="B14381" s="3" t="str">
        <f>"201402008598"</f>
        <v>201402008598</v>
      </c>
    </row>
    <row r="14382" spans="1:2" x14ac:dyDescent="0.25">
      <c r="A14382" s="4">
        <v>14377</v>
      </c>
      <c r="B14382" s="3" t="str">
        <f>"201402008638"</f>
        <v>201402008638</v>
      </c>
    </row>
    <row r="14383" spans="1:2" x14ac:dyDescent="0.25">
      <c r="A14383" s="4">
        <v>14378</v>
      </c>
      <c r="B14383" s="3" t="str">
        <f>"201402008650"</f>
        <v>201402008650</v>
      </c>
    </row>
    <row r="14384" spans="1:2" x14ac:dyDescent="0.25">
      <c r="A14384" s="4">
        <v>14379</v>
      </c>
      <c r="B14384" s="3" t="str">
        <f>"201402008729"</f>
        <v>201402008729</v>
      </c>
    </row>
    <row r="14385" spans="1:2" x14ac:dyDescent="0.25">
      <c r="A14385" s="4">
        <v>14380</v>
      </c>
      <c r="B14385" s="3" t="str">
        <f>"201402009208"</f>
        <v>201402009208</v>
      </c>
    </row>
    <row r="14386" spans="1:2" x14ac:dyDescent="0.25">
      <c r="A14386" s="4">
        <v>14381</v>
      </c>
      <c r="B14386" s="3" t="str">
        <f>"201402009212"</f>
        <v>201402009212</v>
      </c>
    </row>
    <row r="14387" spans="1:2" x14ac:dyDescent="0.25">
      <c r="A14387" s="4">
        <v>14382</v>
      </c>
      <c r="B14387" s="3" t="str">
        <f>"201402009225"</f>
        <v>201402009225</v>
      </c>
    </row>
    <row r="14388" spans="1:2" x14ac:dyDescent="0.25">
      <c r="A14388" s="4">
        <v>14383</v>
      </c>
      <c r="B14388" s="3" t="str">
        <f>"201402009288"</f>
        <v>201402009288</v>
      </c>
    </row>
    <row r="14389" spans="1:2" x14ac:dyDescent="0.25">
      <c r="A14389" s="4">
        <v>14384</v>
      </c>
      <c r="B14389" s="3" t="str">
        <f>"201402009535"</f>
        <v>201402009535</v>
      </c>
    </row>
    <row r="14390" spans="1:2" x14ac:dyDescent="0.25">
      <c r="A14390" s="4">
        <v>14385</v>
      </c>
      <c r="B14390" s="3" t="str">
        <f>"201402009571"</f>
        <v>201402009571</v>
      </c>
    </row>
    <row r="14391" spans="1:2" x14ac:dyDescent="0.25">
      <c r="A14391" s="4">
        <v>14386</v>
      </c>
      <c r="B14391" s="3" t="str">
        <f>"201402009628"</f>
        <v>201402009628</v>
      </c>
    </row>
    <row r="14392" spans="1:2" x14ac:dyDescent="0.25">
      <c r="A14392" s="4">
        <v>14387</v>
      </c>
      <c r="B14392" s="3" t="str">
        <f>"201402009740"</f>
        <v>201402009740</v>
      </c>
    </row>
    <row r="14393" spans="1:2" x14ac:dyDescent="0.25">
      <c r="A14393" s="4">
        <v>14388</v>
      </c>
      <c r="B14393" s="3" t="str">
        <f>"201402010204"</f>
        <v>201402010204</v>
      </c>
    </row>
    <row r="14394" spans="1:2" x14ac:dyDescent="0.25">
      <c r="A14394" s="4">
        <v>14389</v>
      </c>
      <c r="B14394" s="3" t="str">
        <f>"201402010272"</f>
        <v>201402010272</v>
      </c>
    </row>
    <row r="14395" spans="1:2" x14ac:dyDescent="0.25">
      <c r="A14395" s="4">
        <v>14390</v>
      </c>
      <c r="B14395" s="3" t="str">
        <f>"201402010343"</f>
        <v>201402010343</v>
      </c>
    </row>
    <row r="14396" spans="1:2" x14ac:dyDescent="0.25">
      <c r="A14396" s="4">
        <v>14391</v>
      </c>
      <c r="B14396" s="3" t="str">
        <f>"201402010605"</f>
        <v>201402010605</v>
      </c>
    </row>
    <row r="14397" spans="1:2" x14ac:dyDescent="0.25">
      <c r="A14397" s="4">
        <v>14392</v>
      </c>
      <c r="B14397" s="3" t="str">
        <f>"201402010610"</f>
        <v>201402010610</v>
      </c>
    </row>
    <row r="14398" spans="1:2" x14ac:dyDescent="0.25">
      <c r="A14398" s="4">
        <v>14393</v>
      </c>
      <c r="B14398" s="3" t="str">
        <f>"201402011061"</f>
        <v>201402011061</v>
      </c>
    </row>
    <row r="14399" spans="1:2" x14ac:dyDescent="0.25">
      <c r="A14399" s="4">
        <v>14394</v>
      </c>
      <c r="B14399" s="3" t="str">
        <f>"201402011131"</f>
        <v>201402011131</v>
      </c>
    </row>
    <row r="14400" spans="1:2" x14ac:dyDescent="0.25">
      <c r="A14400" s="4">
        <v>14395</v>
      </c>
      <c r="B14400" s="3" t="str">
        <f>"201402011197"</f>
        <v>201402011197</v>
      </c>
    </row>
    <row r="14401" spans="1:2" x14ac:dyDescent="0.25">
      <c r="A14401" s="4">
        <v>14396</v>
      </c>
      <c r="B14401" s="3" t="str">
        <f>"201402011259"</f>
        <v>201402011259</v>
      </c>
    </row>
    <row r="14402" spans="1:2" x14ac:dyDescent="0.25">
      <c r="A14402" s="4">
        <v>14397</v>
      </c>
      <c r="B14402" s="3" t="str">
        <f>"201402011295"</f>
        <v>201402011295</v>
      </c>
    </row>
    <row r="14403" spans="1:2" x14ac:dyDescent="0.25">
      <c r="A14403" s="4">
        <v>14398</v>
      </c>
      <c r="B14403" s="3" t="str">
        <f>"201402011479"</f>
        <v>201402011479</v>
      </c>
    </row>
    <row r="14404" spans="1:2" x14ac:dyDescent="0.25">
      <c r="A14404" s="4">
        <v>14399</v>
      </c>
      <c r="B14404" s="3" t="str">
        <f>"201402012031"</f>
        <v>201402012031</v>
      </c>
    </row>
    <row r="14405" spans="1:2" x14ac:dyDescent="0.25">
      <c r="A14405" s="4">
        <v>14400</v>
      </c>
      <c r="B14405" s="3" t="str">
        <f>"201402012181"</f>
        <v>201402012181</v>
      </c>
    </row>
    <row r="14406" spans="1:2" x14ac:dyDescent="0.25">
      <c r="A14406" s="4">
        <v>14401</v>
      </c>
      <c r="B14406" s="3" t="str">
        <f>"201403000059"</f>
        <v>201403000059</v>
      </c>
    </row>
    <row r="14407" spans="1:2" x14ac:dyDescent="0.25">
      <c r="A14407" s="4">
        <v>14402</v>
      </c>
      <c r="B14407" s="3" t="str">
        <f>"201404000015"</f>
        <v>201404000015</v>
      </c>
    </row>
    <row r="14408" spans="1:2" x14ac:dyDescent="0.25">
      <c r="A14408" s="4">
        <v>14403</v>
      </c>
      <c r="B14408" s="3" t="str">
        <f>"201404000086"</f>
        <v>201404000086</v>
      </c>
    </row>
    <row r="14409" spans="1:2" x14ac:dyDescent="0.25">
      <c r="A14409" s="4">
        <v>14404</v>
      </c>
      <c r="B14409" s="3" t="str">
        <f>"201404000179"</f>
        <v>201404000179</v>
      </c>
    </row>
    <row r="14410" spans="1:2" x14ac:dyDescent="0.25">
      <c r="A14410" s="4">
        <v>14405</v>
      </c>
      <c r="B14410" s="3" t="str">
        <f>"201405000036"</f>
        <v>201405000036</v>
      </c>
    </row>
    <row r="14411" spans="1:2" x14ac:dyDescent="0.25">
      <c r="A14411" s="4">
        <v>14406</v>
      </c>
      <c r="B14411" s="3" t="str">
        <f>"201405000193"</f>
        <v>201405000193</v>
      </c>
    </row>
    <row r="14412" spans="1:2" x14ac:dyDescent="0.25">
      <c r="A14412" s="4">
        <v>14407</v>
      </c>
      <c r="B14412" s="3" t="str">
        <f>"201405000196"</f>
        <v>201405000196</v>
      </c>
    </row>
    <row r="14413" spans="1:2" x14ac:dyDescent="0.25">
      <c r="A14413" s="4">
        <v>14408</v>
      </c>
      <c r="B14413" s="3" t="str">
        <f>"201405000207"</f>
        <v>201405000207</v>
      </c>
    </row>
    <row r="14414" spans="1:2" x14ac:dyDescent="0.25">
      <c r="A14414" s="4">
        <v>14409</v>
      </c>
      <c r="B14414" s="3" t="str">
        <f>"201405000227"</f>
        <v>201405000227</v>
      </c>
    </row>
    <row r="14415" spans="1:2" x14ac:dyDescent="0.25">
      <c r="A14415" s="4">
        <v>14410</v>
      </c>
      <c r="B14415" s="3" t="str">
        <f>"201405000239"</f>
        <v>201405000239</v>
      </c>
    </row>
    <row r="14416" spans="1:2" x14ac:dyDescent="0.25">
      <c r="A14416" s="4">
        <v>14411</v>
      </c>
      <c r="B14416" s="3" t="str">
        <f>"201405000246"</f>
        <v>201405000246</v>
      </c>
    </row>
    <row r="14417" spans="1:2" x14ac:dyDescent="0.25">
      <c r="A14417" s="4">
        <v>14412</v>
      </c>
      <c r="B14417" s="3" t="str">
        <f>"201405000253"</f>
        <v>201405000253</v>
      </c>
    </row>
    <row r="14418" spans="1:2" x14ac:dyDescent="0.25">
      <c r="A14418" s="4">
        <v>14413</v>
      </c>
      <c r="B14418" s="3" t="str">
        <f>"201405000320"</f>
        <v>201405000320</v>
      </c>
    </row>
    <row r="14419" spans="1:2" x14ac:dyDescent="0.25">
      <c r="A14419" s="4">
        <v>14414</v>
      </c>
      <c r="B14419" s="3" t="str">
        <f>"201405000360"</f>
        <v>201405000360</v>
      </c>
    </row>
    <row r="14420" spans="1:2" x14ac:dyDescent="0.25">
      <c r="A14420" s="4">
        <v>14415</v>
      </c>
      <c r="B14420" s="3" t="str">
        <f>"201405000396"</f>
        <v>201405000396</v>
      </c>
    </row>
    <row r="14421" spans="1:2" x14ac:dyDescent="0.25">
      <c r="A14421" s="4">
        <v>14416</v>
      </c>
      <c r="B14421" s="3" t="str">
        <f>"201405000420"</f>
        <v>201405000420</v>
      </c>
    </row>
    <row r="14422" spans="1:2" x14ac:dyDescent="0.25">
      <c r="A14422" s="4">
        <v>14417</v>
      </c>
      <c r="B14422" s="3" t="str">
        <f>"201405000422"</f>
        <v>201405000422</v>
      </c>
    </row>
    <row r="14423" spans="1:2" x14ac:dyDescent="0.25">
      <c r="A14423" s="4">
        <v>14418</v>
      </c>
      <c r="B14423" s="3" t="str">
        <f>"201405000573"</f>
        <v>201405000573</v>
      </c>
    </row>
    <row r="14424" spans="1:2" x14ac:dyDescent="0.25">
      <c r="A14424" s="4">
        <v>14419</v>
      </c>
      <c r="B14424" s="3" t="str">
        <f>"201405000688"</f>
        <v>201405000688</v>
      </c>
    </row>
    <row r="14425" spans="1:2" x14ac:dyDescent="0.25">
      <c r="A14425" s="4">
        <v>14420</v>
      </c>
      <c r="B14425" s="3" t="str">
        <f>"201405000722"</f>
        <v>201405000722</v>
      </c>
    </row>
    <row r="14426" spans="1:2" x14ac:dyDescent="0.25">
      <c r="A14426" s="4">
        <v>14421</v>
      </c>
      <c r="B14426" s="3" t="str">
        <f>"201405000770"</f>
        <v>201405000770</v>
      </c>
    </row>
    <row r="14427" spans="1:2" x14ac:dyDescent="0.25">
      <c r="A14427" s="4">
        <v>14422</v>
      </c>
      <c r="B14427" s="3" t="str">
        <f>"201405000837"</f>
        <v>201405000837</v>
      </c>
    </row>
    <row r="14428" spans="1:2" x14ac:dyDescent="0.25">
      <c r="A14428" s="4">
        <v>14423</v>
      </c>
      <c r="B14428" s="3" t="str">
        <f>"201405000925"</f>
        <v>201405000925</v>
      </c>
    </row>
    <row r="14429" spans="1:2" x14ac:dyDescent="0.25">
      <c r="A14429" s="4">
        <v>14424</v>
      </c>
      <c r="B14429" s="3" t="str">
        <f>"201405000932"</f>
        <v>201405000932</v>
      </c>
    </row>
    <row r="14430" spans="1:2" x14ac:dyDescent="0.25">
      <c r="A14430" s="4">
        <v>14425</v>
      </c>
      <c r="B14430" s="3" t="str">
        <f>"201405000933"</f>
        <v>201405000933</v>
      </c>
    </row>
    <row r="14431" spans="1:2" x14ac:dyDescent="0.25">
      <c r="A14431" s="4">
        <v>14426</v>
      </c>
      <c r="B14431" s="3" t="str">
        <f>"201405000934"</f>
        <v>201405000934</v>
      </c>
    </row>
    <row r="14432" spans="1:2" x14ac:dyDescent="0.25">
      <c r="A14432" s="4">
        <v>14427</v>
      </c>
      <c r="B14432" s="3" t="str">
        <f>"201405000994"</f>
        <v>201405000994</v>
      </c>
    </row>
    <row r="14433" spans="1:2" x14ac:dyDescent="0.25">
      <c r="A14433" s="4">
        <v>14428</v>
      </c>
      <c r="B14433" s="3" t="str">
        <f>"201405000996"</f>
        <v>201405000996</v>
      </c>
    </row>
    <row r="14434" spans="1:2" x14ac:dyDescent="0.25">
      <c r="A14434" s="4">
        <v>14429</v>
      </c>
      <c r="B14434" s="3" t="str">
        <f>"201405001043"</f>
        <v>201405001043</v>
      </c>
    </row>
    <row r="14435" spans="1:2" x14ac:dyDescent="0.25">
      <c r="A14435" s="4">
        <v>14430</v>
      </c>
      <c r="B14435" s="3" t="str">
        <f>"201405001153"</f>
        <v>201405001153</v>
      </c>
    </row>
    <row r="14436" spans="1:2" x14ac:dyDescent="0.25">
      <c r="A14436" s="4">
        <v>14431</v>
      </c>
      <c r="B14436" s="3" t="str">
        <f>"201405001218"</f>
        <v>201405001218</v>
      </c>
    </row>
    <row r="14437" spans="1:2" x14ac:dyDescent="0.25">
      <c r="A14437" s="4">
        <v>14432</v>
      </c>
      <c r="B14437" s="3" t="str">
        <f>"201405001526"</f>
        <v>201405001526</v>
      </c>
    </row>
    <row r="14438" spans="1:2" x14ac:dyDescent="0.25">
      <c r="A14438" s="4">
        <v>14433</v>
      </c>
      <c r="B14438" s="3" t="str">
        <f>"201405001610"</f>
        <v>201405001610</v>
      </c>
    </row>
    <row r="14439" spans="1:2" x14ac:dyDescent="0.25">
      <c r="A14439" s="4">
        <v>14434</v>
      </c>
      <c r="B14439" s="3" t="str">
        <f>"201405001744"</f>
        <v>201405001744</v>
      </c>
    </row>
    <row r="14440" spans="1:2" x14ac:dyDescent="0.25">
      <c r="A14440" s="4">
        <v>14435</v>
      </c>
      <c r="B14440" s="3" t="str">
        <f>"201405001943"</f>
        <v>201405001943</v>
      </c>
    </row>
    <row r="14441" spans="1:2" x14ac:dyDescent="0.25">
      <c r="A14441" s="4">
        <v>14436</v>
      </c>
      <c r="B14441" s="3" t="str">
        <f>"201405001954"</f>
        <v>201405001954</v>
      </c>
    </row>
    <row r="14442" spans="1:2" x14ac:dyDescent="0.25">
      <c r="A14442" s="4">
        <v>14437</v>
      </c>
      <c r="B14442" s="3" t="str">
        <f>"201405001987"</f>
        <v>201405001987</v>
      </c>
    </row>
    <row r="14443" spans="1:2" x14ac:dyDescent="0.25">
      <c r="A14443" s="4">
        <v>14438</v>
      </c>
      <c r="B14443" s="3" t="str">
        <f>"201405002014"</f>
        <v>201405002014</v>
      </c>
    </row>
    <row r="14444" spans="1:2" x14ac:dyDescent="0.25">
      <c r="A14444" s="4">
        <v>14439</v>
      </c>
      <c r="B14444" s="3" t="str">
        <f>"201405002029"</f>
        <v>201405002029</v>
      </c>
    </row>
    <row r="14445" spans="1:2" x14ac:dyDescent="0.25">
      <c r="A14445" s="4">
        <v>14440</v>
      </c>
      <c r="B14445" s="3" t="str">
        <f>"201405002066"</f>
        <v>201405002066</v>
      </c>
    </row>
    <row r="14446" spans="1:2" x14ac:dyDescent="0.25">
      <c r="A14446" s="4">
        <v>14441</v>
      </c>
      <c r="B14446" s="3" t="str">
        <f>"201405002096"</f>
        <v>201405002096</v>
      </c>
    </row>
    <row r="14447" spans="1:2" x14ac:dyDescent="0.25">
      <c r="A14447" s="4">
        <v>14442</v>
      </c>
      <c r="B14447" s="3" t="str">
        <f>"201405002114"</f>
        <v>201405002114</v>
      </c>
    </row>
    <row r="14448" spans="1:2" x14ac:dyDescent="0.25">
      <c r="A14448" s="4">
        <v>14443</v>
      </c>
      <c r="B14448" s="3" t="str">
        <f>"201405002140"</f>
        <v>201405002140</v>
      </c>
    </row>
    <row r="14449" spans="1:2" x14ac:dyDescent="0.25">
      <c r="A14449" s="4">
        <v>14444</v>
      </c>
      <c r="B14449" s="3" t="str">
        <f>"201405002141"</f>
        <v>201405002141</v>
      </c>
    </row>
    <row r="14450" spans="1:2" x14ac:dyDescent="0.25">
      <c r="A14450" s="4">
        <v>14445</v>
      </c>
      <c r="B14450" s="3" t="str">
        <f>"201405002291"</f>
        <v>201405002291</v>
      </c>
    </row>
    <row r="14451" spans="1:2" x14ac:dyDescent="0.25">
      <c r="A14451" s="4">
        <v>14446</v>
      </c>
      <c r="B14451" s="3" t="str">
        <f>"201405002295"</f>
        <v>201405002295</v>
      </c>
    </row>
    <row r="14452" spans="1:2" x14ac:dyDescent="0.25">
      <c r="A14452" s="4">
        <v>14447</v>
      </c>
      <c r="B14452" s="3" t="str">
        <f>"201405002336"</f>
        <v>201405002336</v>
      </c>
    </row>
    <row r="14453" spans="1:2" x14ac:dyDescent="0.25">
      <c r="A14453" s="4">
        <v>14448</v>
      </c>
      <c r="B14453" s="3" t="str">
        <f>"201406000212"</f>
        <v>201406000212</v>
      </c>
    </row>
    <row r="14454" spans="1:2" x14ac:dyDescent="0.25">
      <c r="A14454" s="4">
        <v>14449</v>
      </c>
      <c r="B14454" s="3" t="str">
        <f>"201406000295"</f>
        <v>201406000295</v>
      </c>
    </row>
    <row r="14455" spans="1:2" x14ac:dyDescent="0.25">
      <c r="A14455" s="4">
        <v>14450</v>
      </c>
      <c r="B14455" s="3" t="str">
        <f>"201406000475"</f>
        <v>201406000475</v>
      </c>
    </row>
    <row r="14456" spans="1:2" x14ac:dyDescent="0.25">
      <c r="A14456" s="4">
        <v>14451</v>
      </c>
      <c r="B14456" s="3" t="str">
        <f>"201406000532"</f>
        <v>201406000532</v>
      </c>
    </row>
    <row r="14457" spans="1:2" x14ac:dyDescent="0.25">
      <c r="A14457" s="4">
        <v>14452</v>
      </c>
      <c r="B14457" s="3" t="str">
        <f>"201406000632"</f>
        <v>201406000632</v>
      </c>
    </row>
    <row r="14458" spans="1:2" x14ac:dyDescent="0.25">
      <c r="A14458" s="4">
        <v>14453</v>
      </c>
      <c r="B14458" s="3" t="str">
        <f>"201406000731"</f>
        <v>201406000731</v>
      </c>
    </row>
    <row r="14459" spans="1:2" x14ac:dyDescent="0.25">
      <c r="A14459" s="4">
        <v>14454</v>
      </c>
      <c r="B14459" s="3" t="str">
        <f>"201406000787"</f>
        <v>201406000787</v>
      </c>
    </row>
    <row r="14460" spans="1:2" x14ac:dyDescent="0.25">
      <c r="A14460" s="4">
        <v>14455</v>
      </c>
      <c r="B14460" s="3" t="str">
        <f>"201406000802"</f>
        <v>201406000802</v>
      </c>
    </row>
    <row r="14461" spans="1:2" x14ac:dyDescent="0.25">
      <c r="A14461" s="4">
        <v>14456</v>
      </c>
      <c r="B14461" s="3" t="str">
        <f>"201406000836"</f>
        <v>201406000836</v>
      </c>
    </row>
    <row r="14462" spans="1:2" x14ac:dyDescent="0.25">
      <c r="A14462" s="4">
        <v>14457</v>
      </c>
      <c r="B14462" s="3" t="str">
        <f>"201406000842"</f>
        <v>201406000842</v>
      </c>
    </row>
    <row r="14463" spans="1:2" x14ac:dyDescent="0.25">
      <c r="A14463" s="4">
        <v>14458</v>
      </c>
      <c r="B14463" s="3" t="str">
        <f>"201406000894"</f>
        <v>201406000894</v>
      </c>
    </row>
    <row r="14464" spans="1:2" x14ac:dyDescent="0.25">
      <c r="A14464" s="4">
        <v>14459</v>
      </c>
      <c r="B14464" s="3" t="str">
        <f>"201406000959"</f>
        <v>201406000959</v>
      </c>
    </row>
    <row r="14465" spans="1:2" x14ac:dyDescent="0.25">
      <c r="A14465" s="4">
        <v>14460</v>
      </c>
      <c r="B14465" s="3" t="str">
        <f>"201406001019"</f>
        <v>201406001019</v>
      </c>
    </row>
    <row r="14466" spans="1:2" x14ac:dyDescent="0.25">
      <c r="A14466" s="4">
        <v>14461</v>
      </c>
      <c r="B14466" s="3" t="str">
        <f>"201406001100"</f>
        <v>201406001100</v>
      </c>
    </row>
    <row r="14467" spans="1:2" x14ac:dyDescent="0.25">
      <c r="A14467" s="4">
        <v>14462</v>
      </c>
      <c r="B14467" s="3" t="str">
        <f>"201406001147"</f>
        <v>201406001147</v>
      </c>
    </row>
    <row r="14468" spans="1:2" x14ac:dyDescent="0.25">
      <c r="A14468" s="4">
        <v>14463</v>
      </c>
      <c r="B14468" s="3" t="str">
        <f>"201406001180"</f>
        <v>201406001180</v>
      </c>
    </row>
    <row r="14469" spans="1:2" x14ac:dyDescent="0.25">
      <c r="A14469" s="4">
        <v>14464</v>
      </c>
      <c r="B14469" s="3" t="str">
        <f>"201406001216"</f>
        <v>201406001216</v>
      </c>
    </row>
    <row r="14470" spans="1:2" x14ac:dyDescent="0.25">
      <c r="A14470" s="4">
        <v>14465</v>
      </c>
      <c r="B14470" s="3" t="str">
        <f>"201406001217"</f>
        <v>201406001217</v>
      </c>
    </row>
    <row r="14471" spans="1:2" x14ac:dyDescent="0.25">
      <c r="A14471" s="4">
        <v>14466</v>
      </c>
      <c r="B14471" s="3" t="str">
        <f>"201406001337"</f>
        <v>201406001337</v>
      </c>
    </row>
    <row r="14472" spans="1:2" x14ac:dyDescent="0.25">
      <c r="A14472" s="4">
        <v>14467</v>
      </c>
      <c r="B14472" s="3" t="str">
        <f>"201406001355"</f>
        <v>201406001355</v>
      </c>
    </row>
    <row r="14473" spans="1:2" x14ac:dyDescent="0.25">
      <c r="A14473" s="4">
        <v>14468</v>
      </c>
      <c r="B14473" s="3" t="str">
        <f>"201406001376"</f>
        <v>201406001376</v>
      </c>
    </row>
    <row r="14474" spans="1:2" x14ac:dyDescent="0.25">
      <c r="A14474" s="4">
        <v>14469</v>
      </c>
      <c r="B14474" s="3" t="str">
        <f>"201406001475"</f>
        <v>201406001475</v>
      </c>
    </row>
    <row r="14475" spans="1:2" x14ac:dyDescent="0.25">
      <c r="A14475" s="4">
        <v>14470</v>
      </c>
      <c r="B14475" s="3" t="str">
        <f>"201406001795"</f>
        <v>201406001795</v>
      </c>
    </row>
    <row r="14476" spans="1:2" x14ac:dyDescent="0.25">
      <c r="A14476" s="4">
        <v>14471</v>
      </c>
      <c r="B14476" s="3" t="str">
        <f>"201406001823"</f>
        <v>201406001823</v>
      </c>
    </row>
    <row r="14477" spans="1:2" x14ac:dyDescent="0.25">
      <c r="A14477" s="4">
        <v>14472</v>
      </c>
      <c r="B14477" s="3" t="str">
        <f>"201406001843"</f>
        <v>201406001843</v>
      </c>
    </row>
    <row r="14478" spans="1:2" x14ac:dyDescent="0.25">
      <c r="A14478" s="4">
        <v>14473</v>
      </c>
      <c r="B14478" s="3" t="str">
        <f>"201406002036"</f>
        <v>201406002036</v>
      </c>
    </row>
    <row r="14479" spans="1:2" x14ac:dyDescent="0.25">
      <c r="A14479" s="4">
        <v>14474</v>
      </c>
      <c r="B14479" s="3" t="str">
        <f>"201406002043"</f>
        <v>201406002043</v>
      </c>
    </row>
    <row r="14480" spans="1:2" x14ac:dyDescent="0.25">
      <c r="A14480" s="4">
        <v>14475</v>
      </c>
      <c r="B14480" s="3" t="str">
        <f>"201406002129"</f>
        <v>201406002129</v>
      </c>
    </row>
    <row r="14481" spans="1:2" x14ac:dyDescent="0.25">
      <c r="A14481" s="4">
        <v>14476</v>
      </c>
      <c r="B14481" s="3" t="str">
        <f>"201406002188"</f>
        <v>201406002188</v>
      </c>
    </row>
    <row r="14482" spans="1:2" x14ac:dyDescent="0.25">
      <c r="A14482" s="4">
        <v>14477</v>
      </c>
      <c r="B14482" s="3" t="str">
        <f>"201406002315"</f>
        <v>201406002315</v>
      </c>
    </row>
    <row r="14483" spans="1:2" x14ac:dyDescent="0.25">
      <c r="A14483" s="4">
        <v>14478</v>
      </c>
      <c r="B14483" s="3" t="str">
        <f>"201406002436"</f>
        <v>201406002436</v>
      </c>
    </row>
    <row r="14484" spans="1:2" x14ac:dyDescent="0.25">
      <c r="A14484" s="4">
        <v>14479</v>
      </c>
      <c r="B14484" s="3" t="str">
        <f>"201406002589"</f>
        <v>201406002589</v>
      </c>
    </row>
    <row r="14485" spans="1:2" x14ac:dyDescent="0.25">
      <c r="A14485" s="4">
        <v>14480</v>
      </c>
      <c r="B14485" s="3" t="str">
        <f>"201406002635"</f>
        <v>201406002635</v>
      </c>
    </row>
    <row r="14486" spans="1:2" x14ac:dyDescent="0.25">
      <c r="A14486" s="4">
        <v>14481</v>
      </c>
      <c r="B14486" s="3" t="str">
        <f>"201406002651"</f>
        <v>201406002651</v>
      </c>
    </row>
    <row r="14487" spans="1:2" x14ac:dyDescent="0.25">
      <c r="A14487" s="4">
        <v>14482</v>
      </c>
      <c r="B14487" s="3" t="str">
        <f>"201406002674"</f>
        <v>201406002674</v>
      </c>
    </row>
    <row r="14488" spans="1:2" x14ac:dyDescent="0.25">
      <c r="A14488" s="4">
        <v>14483</v>
      </c>
      <c r="B14488" s="3" t="str">
        <f>"201406002680"</f>
        <v>201406002680</v>
      </c>
    </row>
    <row r="14489" spans="1:2" x14ac:dyDescent="0.25">
      <c r="A14489" s="4">
        <v>14484</v>
      </c>
      <c r="B14489" s="3" t="str">
        <f>"201406002753"</f>
        <v>201406002753</v>
      </c>
    </row>
    <row r="14490" spans="1:2" x14ac:dyDescent="0.25">
      <c r="A14490" s="4">
        <v>14485</v>
      </c>
      <c r="B14490" s="3" t="str">
        <f>"201406002874"</f>
        <v>201406002874</v>
      </c>
    </row>
    <row r="14491" spans="1:2" x14ac:dyDescent="0.25">
      <c r="A14491" s="4">
        <v>14486</v>
      </c>
      <c r="B14491" s="3" t="str">
        <f>"201406002937"</f>
        <v>201406002937</v>
      </c>
    </row>
    <row r="14492" spans="1:2" x14ac:dyDescent="0.25">
      <c r="A14492" s="4">
        <v>14487</v>
      </c>
      <c r="B14492" s="3" t="str">
        <f>"201406002967"</f>
        <v>201406002967</v>
      </c>
    </row>
    <row r="14493" spans="1:2" x14ac:dyDescent="0.25">
      <c r="A14493" s="4">
        <v>14488</v>
      </c>
      <c r="B14493" s="3" t="str">
        <f>"201406002971"</f>
        <v>201406002971</v>
      </c>
    </row>
    <row r="14494" spans="1:2" x14ac:dyDescent="0.25">
      <c r="A14494" s="4">
        <v>14489</v>
      </c>
      <c r="B14494" s="3" t="str">
        <f>"201406003205"</f>
        <v>201406003205</v>
      </c>
    </row>
    <row r="14495" spans="1:2" x14ac:dyDescent="0.25">
      <c r="A14495" s="4">
        <v>14490</v>
      </c>
      <c r="B14495" s="3" t="str">
        <f>"201406003226"</f>
        <v>201406003226</v>
      </c>
    </row>
    <row r="14496" spans="1:2" x14ac:dyDescent="0.25">
      <c r="A14496" s="4">
        <v>14491</v>
      </c>
      <c r="B14496" s="3" t="str">
        <f>"201406003292"</f>
        <v>201406003292</v>
      </c>
    </row>
    <row r="14497" spans="1:2" x14ac:dyDescent="0.25">
      <c r="A14497" s="4">
        <v>14492</v>
      </c>
      <c r="B14497" s="3" t="str">
        <f>"201406003333"</f>
        <v>201406003333</v>
      </c>
    </row>
    <row r="14498" spans="1:2" x14ac:dyDescent="0.25">
      <c r="A14498" s="4">
        <v>14493</v>
      </c>
      <c r="B14498" s="3" t="str">
        <f>"201406003400"</f>
        <v>201406003400</v>
      </c>
    </row>
    <row r="14499" spans="1:2" x14ac:dyDescent="0.25">
      <c r="A14499" s="4">
        <v>14494</v>
      </c>
      <c r="B14499" s="3" t="str">
        <f>"201406004051"</f>
        <v>201406004051</v>
      </c>
    </row>
    <row r="14500" spans="1:2" x14ac:dyDescent="0.25">
      <c r="A14500" s="4">
        <v>14495</v>
      </c>
      <c r="B14500" s="3" t="str">
        <f>"201406004080"</f>
        <v>201406004080</v>
      </c>
    </row>
    <row r="14501" spans="1:2" x14ac:dyDescent="0.25">
      <c r="A14501" s="4">
        <v>14496</v>
      </c>
      <c r="B14501" s="3" t="str">
        <f>"201406004412"</f>
        <v>201406004412</v>
      </c>
    </row>
    <row r="14502" spans="1:2" x14ac:dyDescent="0.25">
      <c r="A14502" s="4">
        <v>14497</v>
      </c>
      <c r="B14502" s="3" t="str">
        <f>"201406004544"</f>
        <v>201406004544</v>
      </c>
    </row>
    <row r="14503" spans="1:2" x14ac:dyDescent="0.25">
      <c r="A14503" s="4">
        <v>14498</v>
      </c>
      <c r="B14503" s="3" t="str">
        <f>"201406004666"</f>
        <v>201406004666</v>
      </c>
    </row>
    <row r="14504" spans="1:2" x14ac:dyDescent="0.25">
      <c r="A14504" s="4">
        <v>14499</v>
      </c>
      <c r="B14504" s="3" t="str">
        <f>"201406004685"</f>
        <v>201406004685</v>
      </c>
    </row>
    <row r="14505" spans="1:2" x14ac:dyDescent="0.25">
      <c r="A14505" s="4">
        <v>14500</v>
      </c>
      <c r="B14505" s="3" t="str">
        <f>"201406004726"</f>
        <v>201406004726</v>
      </c>
    </row>
    <row r="14506" spans="1:2" x14ac:dyDescent="0.25">
      <c r="A14506" s="4">
        <v>14501</v>
      </c>
      <c r="B14506" s="3" t="str">
        <f>"201406004798"</f>
        <v>201406004798</v>
      </c>
    </row>
    <row r="14507" spans="1:2" x14ac:dyDescent="0.25">
      <c r="A14507" s="4">
        <v>14502</v>
      </c>
      <c r="B14507" s="3" t="str">
        <f>"201406004856"</f>
        <v>201406004856</v>
      </c>
    </row>
    <row r="14508" spans="1:2" x14ac:dyDescent="0.25">
      <c r="A14508" s="4">
        <v>14503</v>
      </c>
      <c r="B14508" s="3" t="str">
        <f>"201406005030"</f>
        <v>201406005030</v>
      </c>
    </row>
    <row r="14509" spans="1:2" x14ac:dyDescent="0.25">
      <c r="A14509" s="4">
        <v>14504</v>
      </c>
      <c r="B14509" s="3" t="str">
        <f>"201406005032"</f>
        <v>201406005032</v>
      </c>
    </row>
    <row r="14510" spans="1:2" x14ac:dyDescent="0.25">
      <c r="A14510" s="4">
        <v>14505</v>
      </c>
      <c r="B14510" s="3" t="str">
        <f>"201406005077"</f>
        <v>201406005077</v>
      </c>
    </row>
    <row r="14511" spans="1:2" x14ac:dyDescent="0.25">
      <c r="A14511" s="4">
        <v>14506</v>
      </c>
      <c r="B14511" s="3" t="str">
        <f>"201406005101"</f>
        <v>201406005101</v>
      </c>
    </row>
    <row r="14512" spans="1:2" x14ac:dyDescent="0.25">
      <c r="A14512" s="4">
        <v>14507</v>
      </c>
      <c r="B14512" s="3" t="str">
        <f>"201406005165"</f>
        <v>201406005165</v>
      </c>
    </row>
    <row r="14513" spans="1:2" x14ac:dyDescent="0.25">
      <c r="A14513" s="4">
        <v>14508</v>
      </c>
      <c r="B14513" s="3" t="str">
        <f>"201406005216"</f>
        <v>201406005216</v>
      </c>
    </row>
    <row r="14514" spans="1:2" x14ac:dyDescent="0.25">
      <c r="A14514" s="4">
        <v>14509</v>
      </c>
      <c r="B14514" s="3" t="str">
        <f>"201406005337"</f>
        <v>201406005337</v>
      </c>
    </row>
    <row r="14515" spans="1:2" x14ac:dyDescent="0.25">
      <c r="A14515" s="4">
        <v>14510</v>
      </c>
      <c r="B14515" s="3" t="str">
        <f>"201406005535"</f>
        <v>201406005535</v>
      </c>
    </row>
    <row r="14516" spans="1:2" x14ac:dyDescent="0.25">
      <c r="A14516" s="4">
        <v>14511</v>
      </c>
      <c r="B14516" s="3" t="str">
        <f>"201406005559"</f>
        <v>201406005559</v>
      </c>
    </row>
    <row r="14517" spans="1:2" x14ac:dyDescent="0.25">
      <c r="A14517" s="4">
        <v>14512</v>
      </c>
      <c r="B14517" s="3" t="str">
        <f>"201406005650"</f>
        <v>201406005650</v>
      </c>
    </row>
    <row r="14518" spans="1:2" x14ac:dyDescent="0.25">
      <c r="A14518" s="4">
        <v>14513</v>
      </c>
      <c r="B14518" s="3" t="str">
        <f>"201406005676"</f>
        <v>201406005676</v>
      </c>
    </row>
    <row r="14519" spans="1:2" x14ac:dyDescent="0.25">
      <c r="A14519" s="4">
        <v>14514</v>
      </c>
      <c r="B14519" s="3" t="str">
        <f>"201406005703"</f>
        <v>201406005703</v>
      </c>
    </row>
    <row r="14520" spans="1:2" x14ac:dyDescent="0.25">
      <c r="A14520" s="4">
        <v>14515</v>
      </c>
      <c r="B14520" s="3" t="str">
        <f>"201406005842"</f>
        <v>201406005842</v>
      </c>
    </row>
    <row r="14521" spans="1:2" x14ac:dyDescent="0.25">
      <c r="A14521" s="4">
        <v>14516</v>
      </c>
      <c r="B14521" s="3" t="str">
        <f>"201406006078"</f>
        <v>201406006078</v>
      </c>
    </row>
    <row r="14522" spans="1:2" x14ac:dyDescent="0.25">
      <c r="A14522" s="4">
        <v>14517</v>
      </c>
      <c r="B14522" s="3" t="str">
        <f>"201406006121"</f>
        <v>201406006121</v>
      </c>
    </row>
    <row r="14523" spans="1:2" x14ac:dyDescent="0.25">
      <c r="A14523" s="4">
        <v>14518</v>
      </c>
      <c r="B14523" s="3" t="str">
        <f>"201406006142"</f>
        <v>201406006142</v>
      </c>
    </row>
    <row r="14524" spans="1:2" x14ac:dyDescent="0.25">
      <c r="A14524" s="4">
        <v>14519</v>
      </c>
      <c r="B14524" s="3" t="str">
        <f>"201406006306"</f>
        <v>201406006306</v>
      </c>
    </row>
    <row r="14525" spans="1:2" x14ac:dyDescent="0.25">
      <c r="A14525" s="4">
        <v>14520</v>
      </c>
      <c r="B14525" s="3" t="str">
        <f>"201406006361"</f>
        <v>201406006361</v>
      </c>
    </row>
    <row r="14526" spans="1:2" x14ac:dyDescent="0.25">
      <c r="A14526" s="4">
        <v>14521</v>
      </c>
      <c r="B14526" s="3" t="str">
        <f>"201406006455"</f>
        <v>201406006455</v>
      </c>
    </row>
    <row r="14527" spans="1:2" x14ac:dyDescent="0.25">
      <c r="A14527" s="4">
        <v>14522</v>
      </c>
      <c r="B14527" s="3" t="str">
        <f>"201406006521"</f>
        <v>201406006521</v>
      </c>
    </row>
    <row r="14528" spans="1:2" x14ac:dyDescent="0.25">
      <c r="A14528" s="4">
        <v>14523</v>
      </c>
      <c r="B14528" s="3" t="str">
        <f>"201406006527"</f>
        <v>201406006527</v>
      </c>
    </row>
    <row r="14529" spans="1:2" x14ac:dyDescent="0.25">
      <c r="A14529" s="4">
        <v>14524</v>
      </c>
      <c r="B14529" s="3" t="str">
        <f>"201406006540"</f>
        <v>201406006540</v>
      </c>
    </row>
    <row r="14530" spans="1:2" x14ac:dyDescent="0.25">
      <c r="A14530" s="4">
        <v>14525</v>
      </c>
      <c r="B14530" s="3" t="str">
        <f>"201406006567"</f>
        <v>201406006567</v>
      </c>
    </row>
    <row r="14531" spans="1:2" x14ac:dyDescent="0.25">
      <c r="A14531" s="4">
        <v>14526</v>
      </c>
      <c r="B14531" s="3" t="str">
        <f>"201406006856"</f>
        <v>201406006856</v>
      </c>
    </row>
    <row r="14532" spans="1:2" x14ac:dyDescent="0.25">
      <c r="A14532" s="4">
        <v>14527</v>
      </c>
      <c r="B14532" s="3" t="str">
        <f>"201406007102"</f>
        <v>201406007102</v>
      </c>
    </row>
    <row r="14533" spans="1:2" x14ac:dyDescent="0.25">
      <c r="A14533" s="4">
        <v>14528</v>
      </c>
      <c r="B14533" s="3" t="str">
        <f>"201406007172"</f>
        <v>201406007172</v>
      </c>
    </row>
    <row r="14534" spans="1:2" x14ac:dyDescent="0.25">
      <c r="A14534" s="4">
        <v>14529</v>
      </c>
      <c r="B14534" s="3" t="str">
        <f>"201406007244"</f>
        <v>201406007244</v>
      </c>
    </row>
    <row r="14535" spans="1:2" x14ac:dyDescent="0.25">
      <c r="A14535" s="4">
        <v>14530</v>
      </c>
      <c r="B14535" s="3" t="str">
        <f>"201406007266"</f>
        <v>201406007266</v>
      </c>
    </row>
    <row r="14536" spans="1:2" x14ac:dyDescent="0.25">
      <c r="A14536" s="4">
        <v>14531</v>
      </c>
      <c r="B14536" s="3" t="str">
        <f>"201406007315"</f>
        <v>201406007315</v>
      </c>
    </row>
    <row r="14537" spans="1:2" x14ac:dyDescent="0.25">
      <c r="A14537" s="4">
        <v>14532</v>
      </c>
      <c r="B14537" s="3" t="str">
        <f>"201406007390"</f>
        <v>201406007390</v>
      </c>
    </row>
    <row r="14538" spans="1:2" x14ac:dyDescent="0.25">
      <c r="A14538" s="4">
        <v>14533</v>
      </c>
      <c r="B14538" s="3" t="str">
        <f>"201406007535"</f>
        <v>201406007535</v>
      </c>
    </row>
    <row r="14539" spans="1:2" x14ac:dyDescent="0.25">
      <c r="A14539" s="4">
        <v>14534</v>
      </c>
      <c r="B14539" s="3" t="str">
        <f>"201406007587"</f>
        <v>201406007587</v>
      </c>
    </row>
    <row r="14540" spans="1:2" x14ac:dyDescent="0.25">
      <c r="A14540" s="4">
        <v>14535</v>
      </c>
      <c r="B14540" s="3" t="str">
        <f>"201406007594"</f>
        <v>201406007594</v>
      </c>
    </row>
    <row r="14541" spans="1:2" x14ac:dyDescent="0.25">
      <c r="A14541" s="4">
        <v>14536</v>
      </c>
      <c r="B14541" s="3" t="str">
        <f>"201406007724"</f>
        <v>201406007724</v>
      </c>
    </row>
    <row r="14542" spans="1:2" x14ac:dyDescent="0.25">
      <c r="A14542" s="4">
        <v>14537</v>
      </c>
      <c r="B14542" s="3" t="str">
        <f>"201406007795"</f>
        <v>201406007795</v>
      </c>
    </row>
    <row r="14543" spans="1:2" x14ac:dyDescent="0.25">
      <c r="A14543" s="4">
        <v>14538</v>
      </c>
      <c r="B14543" s="3" t="str">
        <f>"201406007796"</f>
        <v>201406007796</v>
      </c>
    </row>
    <row r="14544" spans="1:2" x14ac:dyDescent="0.25">
      <c r="A14544" s="4">
        <v>14539</v>
      </c>
      <c r="B14544" s="3" t="str">
        <f>"201406007866"</f>
        <v>201406007866</v>
      </c>
    </row>
    <row r="14545" spans="1:2" x14ac:dyDescent="0.25">
      <c r="A14545" s="4">
        <v>14540</v>
      </c>
      <c r="B14545" s="3" t="str">
        <f>"201406007913"</f>
        <v>201406007913</v>
      </c>
    </row>
    <row r="14546" spans="1:2" x14ac:dyDescent="0.25">
      <c r="A14546" s="4">
        <v>14541</v>
      </c>
      <c r="B14546" s="3" t="str">
        <f>"201406007925"</f>
        <v>201406007925</v>
      </c>
    </row>
    <row r="14547" spans="1:2" x14ac:dyDescent="0.25">
      <c r="A14547" s="4">
        <v>14542</v>
      </c>
      <c r="B14547" s="3" t="str">
        <f>"201406008019"</f>
        <v>201406008019</v>
      </c>
    </row>
    <row r="14548" spans="1:2" x14ac:dyDescent="0.25">
      <c r="A14548" s="4">
        <v>14543</v>
      </c>
      <c r="B14548" s="3" t="str">
        <f>"201406008043"</f>
        <v>201406008043</v>
      </c>
    </row>
    <row r="14549" spans="1:2" x14ac:dyDescent="0.25">
      <c r="A14549" s="4">
        <v>14544</v>
      </c>
      <c r="B14549" s="3" t="str">
        <f>"201406008506"</f>
        <v>201406008506</v>
      </c>
    </row>
    <row r="14550" spans="1:2" x14ac:dyDescent="0.25">
      <c r="A14550" s="4">
        <v>14545</v>
      </c>
      <c r="B14550" s="3" t="str">
        <f>"201406008639"</f>
        <v>201406008639</v>
      </c>
    </row>
    <row r="14551" spans="1:2" x14ac:dyDescent="0.25">
      <c r="A14551" s="4">
        <v>14546</v>
      </c>
      <c r="B14551" s="3" t="str">
        <f>"201406008770"</f>
        <v>201406008770</v>
      </c>
    </row>
    <row r="14552" spans="1:2" x14ac:dyDescent="0.25">
      <c r="A14552" s="4">
        <v>14547</v>
      </c>
      <c r="B14552" s="3" t="str">
        <f>"201406008820"</f>
        <v>201406008820</v>
      </c>
    </row>
    <row r="14553" spans="1:2" x14ac:dyDescent="0.25">
      <c r="A14553" s="4">
        <v>14548</v>
      </c>
      <c r="B14553" s="3" t="str">
        <f>"201406008903"</f>
        <v>201406008903</v>
      </c>
    </row>
    <row r="14554" spans="1:2" x14ac:dyDescent="0.25">
      <c r="A14554" s="4">
        <v>14549</v>
      </c>
      <c r="B14554" s="3" t="str">
        <f>"201406008951"</f>
        <v>201406008951</v>
      </c>
    </row>
    <row r="14555" spans="1:2" x14ac:dyDescent="0.25">
      <c r="A14555" s="4">
        <v>14550</v>
      </c>
      <c r="B14555" s="3" t="str">
        <f>"201406009314"</f>
        <v>201406009314</v>
      </c>
    </row>
    <row r="14556" spans="1:2" x14ac:dyDescent="0.25">
      <c r="A14556" s="4">
        <v>14551</v>
      </c>
      <c r="B14556" s="3" t="str">
        <f>"201406009466"</f>
        <v>201406009466</v>
      </c>
    </row>
    <row r="14557" spans="1:2" x14ac:dyDescent="0.25">
      <c r="A14557" s="4">
        <v>14552</v>
      </c>
      <c r="B14557" s="3" t="str">
        <f>"201406009497"</f>
        <v>201406009497</v>
      </c>
    </row>
    <row r="14558" spans="1:2" x14ac:dyDescent="0.25">
      <c r="A14558" s="4">
        <v>14553</v>
      </c>
      <c r="B14558" s="3" t="str">
        <f>"201406009499"</f>
        <v>201406009499</v>
      </c>
    </row>
    <row r="14559" spans="1:2" x14ac:dyDescent="0.25">
      <c r="A14559" s="4">
        <v>14554</v>
      </c>
      <c r="B14559" s="3" t="str">
        <f>"201406009526"</f>
        <v>201406009526</v>
      </c>
    </row>
    <row r="14560" spans="1:2" x14ac:dyDescent="0.25">
      <c r="A14560" s="4">
        <v>14555</v>
      </c>
      <c r="B14560" s="3" t="str">
        <f>"201406009563"</f>
        <v>201406009563</v>
      </c>
    </row>
    <row r="14561" spans="1:2" x14ac:dyDescent="0.25">
      <c r="A14561" s="4">
        <v>14556</v>
      </c>
      <c r="B14561" s="3" t="str">
        <f>"201406009601"</f>
        <v>201406009601</v>
      </c>
    </row>
    <row r="14562" spans="1:2" x14ac:dyDescent="0.25">
      <c r="A14562" s="4">
        <v>14557</v>
      </c>
      <c r="B14562" s="3" t="str">
        <f>"201406009616"</f>
        <v>201406009616</v>
      </c>
    </row>
    <row r="14563" spans="1:2" x14ac:dyDescent="0.25">
      <c r="A14563" s="4">
        <v>14558</v>
      </c>
      <c r="B14563" s="3" t="str">
        <f>"201406009688"</f>
        <v>201406009688</v>
      </c>
    </row>
    <row r="14564" spans="1:2" x14ac:dyDescent="0.25">
      <c r="A14564" s="4">
        <v>14559</v>
      </c>
      <c r="B14564" s="3" t="str">
        <f>"201406009716"</f>
        <v>201406009716</v>
      </c>
    </row>
    <row r="14565" spans="1:2" x14ac:dyDescent="0.25">
      <c r="A14565" s="4">
        <v>14560</v>
      </c>
      <c r="B14565" s="3" t="str">
        <f>"201406009738"</f>
        <v>201406009738</v>
      </c>
    </row>
    <row r="14566" spans="1:2" x14ac:dyDescent="0.25">
      <c r="A14566" s="4">
        <v>14561</v>
      </c>
      <c r="B14566" s="3" t="str">
        <f>"201406009817"</f>
        <v>201406009817</v>
      </c>
    </row>
    <row r="14567" spans="1:2" x14ac:dyDescent="0.25">
      <c r="A14567" s="4">
        <v>14562</v>
      </c>
      <c r="B14567" s="3" t="str">
        <f>"201406010021"</f>
        <v>201406010021</v>
      </c>
    </row>
    <row r="14568" spans="1:2" x14ac:dyDescent="0.25">
      <c r="A14568" s="4">
        <v>14563</v>
      </c>
      <c r="B14568" s="3" t="str">
        <f>"201406010136"</f>
        <v>201406010136</v>
      </c>
    </row>
    <row r="14569" spans="1:2" x14ac:dyDescent="0.25">
      <c r="A14569" s="4">
        <v>14564</v>
      </c>
      <c r="B14569" s="3" t="str">
        <f>"201406010235"</f>
        <v>201406010235</v>
      </c>
    </row>
    <row r="14570" spans="1:2" x14ac:dyDescent="0.25">
      <c r="A14570" s="4">
        <v>14565</v>
      </c>
      <c r="B14570" s="3" t="str">
        <f>"201406010237"</f>
        <v>201406010237</v>
      </c>
    </row>
    <row r="14571" spans="1:2" x14ac:dyDescent="0.25">
      <c r="A14571" s="4">
        <v>14566</v>
      </c>
      <c r="B14571" s="3" t="str">
        <f>"201406010274"</f>
        <v>201406010274</v>
      </c>
    </row>
    <row r="14572" spans="1:2" x14ac:dyDescent="0.25">
      <c r="A14572" s="4">
        <v>14567</v>
      </c>
      <c r="B14572" s="3" t="str">
        <f>"201406010327"</f>
        <v>201406010327</v>
      </c>
    </row>
    <row r="14573" spans="1:2" x14ac:dyDescent="0.25">
      <c r="A14573" s="4">
        <v>14568</v>
      </c>
      <c r="B14573" s="3" t="str">
        <f>"201406010370"</f>
        <v>201406010370</v>
      </c>
    </row>
    <row r="14574" spans="1:2" x14ac:dyDescent="0.25">
      <c r="A14574" s="4">
        <v>14569</v>
      </c>
      <c r="B14574" s="3" t="str">
        <f>"201406010479"</f>
        <v>201406010479</v>
      </c>
    </row>
    <row r="14575" spans="1:2" x14ac:dyDescent="0.25">
      <c r="A14575" s="4">
        <v>14570</v>
      </c>
      <c r="B14575" s="3" t="str">
        <f>"201406010484"</f>
        <v>201406010484</v>
      </c>
    </row>
    <row r="14576" spans="1:2" x14ac:dyDescent="0.25">
      <c r="A14576" s="4">
        <v>14571</v>
      </c>
      <c r="B14576" s="3" t="str">
        <f>"201406010511"</f>
        <v>201406010511</v>
      </c>
    </row>
    <row r="14577" spans="1:2" x14ac:dyDescent="0.25">
      <c r="A14577" s="4">
        <v>14572</v>
      </c>
      <c r="B14577" s="3" t="str">
        <f>"201406010522"</f>
        <v>201406010522</v>
      </c>
    </row>
    <row r="14578" spans="1:2" x14ac:dyDescent="0.25">
      <c r="A14578" s="4">
        <v>14573</v>
      </c>
      <c r="B14578" s="3" t="str">
        <f>"201406010557"</f>
        <v>201406010557</v>
      </c>
    </row>
    <row r="14579" spans="1:2" x14ac:dyDescent="0.25">
      <c r="A14579" s="4">
        <v>14574</v>
      </c>
      <c r="B14579" s="3" t="str">
        <f>"201406010796"</f>
        <v>201406010796</v>
      </c>
    </row>
    <row r="14580" spans="1:2" x14ac:dyDescent="0.25">
      <c r="A14580" s="4">
        <v>14575</v>
      </c>
      <c r="B14580" s="3" t="str">
        <f>"201406010979"</f>
        <v>201406010979</v>
      </c>
    </row>
    <row r="14581" spans="1:2" x14ac:dyDescent="0.25">
      <c r="A14581" s="4">
        <v>14576</v>
      </c>
      <c r="B14581" s="3" t="str">
        <f>"201406011130"</f>
        <v>201406011130</v>
      </c>
    </row>
    <row r="14582" spans="1:2" x14ac:dyDescent="0.25">
      <c r="A14582" s="4">
        <v>14577</v>
      </c>
      <c r="B14582" s="3" t="str">
        <f>"201406011162"</f>
        <v>201406011162</v>
      </c>
    </row>
    <row r="14583" spans="1:2" x14ac:dyDescent="0.25">
      <c r="A14583" s="4">
        <v>14578</v>
      </c>
      <c r="B14583" s="3" t="str">
        <f>"201406011351"</f>
        <v>201406011351</v>
      </c>
    </row>
    <row r="14584" spans="1:2" x14ac:dyDescent="0.25">
      <c r="A14584" s="4">
        <v>14579</v>
      </c>
      <c r="B14584" s="3" t="str">
        <f>"201406011384"</f>
        <v>201406011384</v>
      </c>
    </row>
    <row r="14585" spans="1:2" x14ac:dyDescent="0.25">
      <c r="A14585" s="4">
        <v>14580</v>
      </c>
      <c r="B14585" s="3" t="str">
        <f>"201406011452"</f>
        <v>201406011452</v>
      </c>
    </row>
    <row r="14586" spans="1:2" x14ac:dyDescent="0.25">
      <c r="A14586" s="4">
        <v>14581</v>
      </c>
      <c r="B14586" s="3" t="str">
        <f>"201406011470"</f>
        <v>201406011470</v>
      </c>
    </row>
    <row r="14587" spans="1:2" x14ac:dyDescent="0.25">
      <c r="A14587" s="4">
        <v>14582</v>
      </c>
      <c r="B14587" s="3" t="str">
        <f>"201406011603"</f>
        <v>201406011603</v>
      </c>
    </row>
    <row r="14588" spans="1:2" x14ac:dyDescent="0.25">
      <c r="A14588" s="4">
        <v>14583</v>
      </c>
      <c r="B14588" s="3" t="str">
        <f>"201406011653"</f>
        <v>201406011653</v>
      </c>
    </row>
    <row r="14589" spans="1:2" x14ac:dyDescent="0.25">
      <c r="A14589" s="4">
        <v>14584</v>
      </c>
      <c r="B14589" s="3" t="str">
        <f>"201406011702"</f>
        <v>201406011702</v>
      </c>
    </row>
    <row r="14590" spans="1:2" x14ac:dyDescent="0.25">
      <c r="A14590" s="4">
        <v>14585</v>
      </c>
      <c r="B14590" s="3" t="str">
        <f>"201406011726"</f>
        <v>201406011726</v>
      </c>
    </row>
    <row r="14591" spans="1:2" x14ac:dyDescent="0.25">
      <c r="A14591" s="4">
        <v>14586</v>
      </c>
      <c r="B14591" s="3" t="str">
        <f>"201406011746"</f>
        <v>201406011746</v>
      </c>
    </row>
    <row r="14592" spans="1:2" x14ac:dyDescent="0.25">
      <c r="A14592" s="4">
        <v>14587</v>
      </c>
      <c r="B14592" s="3" t="str">
        <f>"201406011862"</f>
        <v>201406011862</v>
      </c>
    </row>
    <row r="14593" spans="1:2" x14ac:dyDescent="0.25">
      <c r="A14593" s="4">
        <v>14588</v>
      </c>
      <c r="B14593" s="3" t="str">
        <f>"201406011918"</f>
        <v>201406011918</v>
      </c>
    </row>
    <row r="14594" spans="1:2" x14ac:dyDescent="0.25">
      <c r="A14594" s="4">
        <v>14589</v>
      </c>
      <c r="B14594" s="3" t="str">
        <f>"201406012054"</f>
        <v>201406012054</v>
      </c>
    </row>
    <row r="14595" spans="1:2" x14ac:dyDescent="0.25">
      <c r="A14595" s="4">
        <v>14590</v>
      </c>
      <c r="B14595" s="3" t="str">
        <f>"201406012240"</f>
        <v>201406012240</v>
      </c>
    </row>
    <row r="14596" spans="1:2" x14ac:dyDescent="0.25">
      <c r="A14596" s="4">
        <v>14591</v>
      </c>
      <c r="B14596" s="3" t="str">
        <f>"201406012281"</f>
        <v>201406012281</v>
      </c>
    </row>
    <row r="14597" spans="1:2" x14ac:dyDescent="0.25">
      <c r="A14597" s="4">
        <v>14592</v>
      </c>
      <c r="B14597" s="3" t="str">
        <f>"201406012291"</f>
        <v>201406012291</v>
      </c>
    </row>
    <row r="14598" spans="1:2" x14ac:dyDescent="0.25">
      <c r="A14598" s="4">
        <v>14593</v>
      </c>
      <c r="B14598" s="3" t="str">
        <f>"201406012317"</f>
        <v>201406012317</v>
      </c>
    </row>
    <row r="14599" spans="1:2" x14ac:dyDescent="0.25">
      <c r="A14599" s="4">
        <v>14594</v>
      </c>
      <c r="B14599" s="3" t="str">
        <f>"201406012482"</f>
        <v>201406012482</v>
      </c>
    </row>
    <row r="14600" spans="1:2" x14ac:dyDescent="0.25">
      <c r="A14600" s="4">
        <v>14595</v>
      </c>
      <c r="B14600" s="3" t="str">
        <f>"201406012559"</f>
        <v>201406012559</v>
      </c>
    </row>
    <row r="14601" spans="1:2" x14ac:dyDescent="0.25">
      <c r="A14601" s="4">
        <v>14596</v>
      </c>
      <c r="B14601" s="3" t="str">
        <f>"201406012610"</f>
        <v>201406012610</v>
      </c>
    </row>
    <row r="14602" spans="1:2" x14ac:dyDescent="0.25">
      <c r="A14602" s="4">
        <v>14597</v>
      </c>
      <c r="B14602" s="3" t="str">
        <f>"201406012614"</f>
        <v>201406012614</v>
      </c>
    </row>
    <row r="14603" spans="1:2" x14ac:dyDescent="0.25">
      <c r="A14603" s="4">
        <v>14598</v>
      </c>
      <c r="B14603" s="3" t="str">
        <f>"201406012620"</f>
        <v>201406012620</v>
      </c>
    </row>
    <row r="14604" spans="1:2" x14ac:dyDescent="0.25">
      <c r="A14604" s="4">
        <v>14599</v>
      </c>
      <c r="B14604" s="3" t="str">
        <f>"201406012692"</f>
        <v>201406012692</v>
      </c>
    </row>
    <row r="14605" spans="1:2" x14ac:dyDescent="0.25">
      <c r="A14605" s="4">
        <v>14600</v>
      </c>
      <c r="B14605" s="3" t="str">
        <f>"201406012899"</f>
        <v>201406012899</v>
      </c>
    </row>
    <row r="14606" spans="1:2" x14ac:dyDescent="0.25">
      <c r="A14606" s="4">
        <v>14601</v>
      </c>
      <c r="B14606" s="3" t="str">
        <f>"201406013079"</f>
        <v>201406013079</v>
      </c>
    </row>
    <row r="14607" spans="1:2" x14ac:dyDescent="0.25">
      <c r="A14607" s="4">
        <v>14602</v>
      </c>
      <c r="B14607" s="3" t="str">
        <f>"201406013084"</f>
        <v>201406013084</v>
      </c>
    </row>
    <row r="14608" spans="1:2" x14ac:dyDescent="0.25">
      <c r="A14608" s="4">
        <v>14603</v>
      </c>
      <c r="B14608" s="3" t="str">
        <f>"201406013106"</f>
        <v>201406013106</v>
      </c>
    </row>
    <row r="14609" spans="1:2" x14ac:dyDescent="0.25">
      <c r="A14609" s="4">
        <v>14604</v>
      </c>
      <c r="B14609" s="3" t="str">
        <f>"201406013147"</f>
        <v>201406013147</v>
      </c>
    </row>
    <row r="14610" spans="1:2" x14ac:dyDescent="0.25">
      <c r="A14610" s="4">
        <v>14605</v>
      </c>
      <c r="B14610" s="3" t="str">
        <f>"201406013187"</f>
        <v>201406013187</v>
      </c>
    </row>
    <row r="14611" spans="1:2" x14ac:dyDescent="0.25">
      <c r="A14611" s="4">
        <v>14606</v>
      </c>
      <c r="B14611" s="3" t="str">
        <f>"201406013214"</f>
        <v>201406013214</v>
      </c>
    </row>
    <row r="14612" spans="1:2" x14ac:dyDescent="0.25">
      <c r="A14612" s="4">
        <v>14607</v>
      </c>
      <c r="B14612" s="3" t="str">
        <f>"201406013371"</f>
        <v>201406013371</v>
      </c>
    </row>
    <row r="14613" spans="1:2" x14ac:dyDescent="0.25">
      <c r="A14613" s="4">
        <v>14608</v>
      </c>
      <c r="B14613" s="3" t="str">
        <f>"201406013372"</f>
        <v>201406013372</v>
      </c>
    </row>
    <row r="14614" spans="1:2" x14ac:dyDescent="0.25">
      <c r="A14614" s="4">
        <v>14609</v>
      </c>
      <c r="B14614" s="3" t="str">
        <f>"201406013379"</f>
        <v>201406013379</v>
      </c>
    </row>
    <row r="14615" spans="1:2" x14ac:dyDescent="0.25">
      <c r="A14615" s="4">
        <v>14610</v>
      </c>
      <c r="B14615" s="3" t="str">
        <f>"201406013515"</f>
        <v>201406013515</v>
      </c>
    </row>
    <row r="14616" spans="1:2" x14ac:dyDescent="0.25">
      <c r="A14616" s="4">
        <v>14611</v>
      </c>
      <c r="B14616" s="3" t="str">
        <f>"201406013566"</f>
        <v>201406013566</v>
      </c>
    </row>
    <row r="14617" spans="1:2" x14ac:dyDescent="0.25">
      <c r="A14617" s="4">
        <v>14612</v>
      </c>
      <c r="B14617" s="3" t="str">
        <f>"201406013649"</f>
        <v>201406013649</v>
      </c>
    </row>
    <row r="14618" spans="1:2" x14ac:dyDescent="0.25">
      <c r="A14618" s="4">
        <v>14613</v>
      </c>
      <c r="B14618" s="3" t="str">
        <f>"201406013692"</f>
        <v>201406013692</v>
      </c>
    </row>
    <row r="14619" spans="1:2" x14ac:dyDescent="0.25">
      <c r="A14619" s="4">
        <v>14614</v>
      </c>
      <c r="B14619" s="3" t="str">
        <f>"201406013743"</f>
        <v>201406013743</v>
      </c>
    </row>
    <row r="14620" spans="1:2" x14ac:dyDescent="0.25">
      <c r="A14620" s="4">
        <v>14615</v>
      </c>
      <c r="B14620" s="3" t="str">
        <f>"201406014144"</f>
        <v>201406014144</v>
      </c>
    </row>
    <row r="14621" spans="1:2" x14ac:dyDescent="0.25">
      <c r="A14621" s="4">
        <v>14616</v>
      </c>
      <c r="B14621" s="3" t="str">
        <f>"201406014501"</f>
        <v>201406014501</v>
      </c>
    </row>
    <row r="14622" spans="1:2" x14ac:dyDescent="0.25">
      <c r="A14622" s="4">
        <v>14617</v>
      </c>
      <c r="B14622" s="3" t="str">
        <f>"201406014705"</f>
        <v>201406014705</v>
      </c>
    </row>
    <row r="14623" spans="1:2" x14ac:dyDescent="0.25">
      <c r="A14623" s="4">
        <v>14618</v>
      </c>
      <c r="B14623" s="3" t="str">
        <f>"201406014827"</f>
        <v>201406014827</v>
      </c>
    </row>
    <row r="14624" spans="1:2" x14ac:dyDescent="0.25">
      <c r="A14624" s="4">
        <v>14619</v>
      </c>
      <c r="B14624" s="3" t="str">
        <f>"201406014992"</f>
        <v>201406014992</v>
      </c>
    </row>
    <row r="14625" spans="1:2" x14ac:dyDescent="0.25">
      <c r="A14625" s="4">
        <v>14620</v>
      </c>
      <c r="B14625" s="3" t="str">
        <f>"201406015067"</f>
        <v>201406015067</v>
      </c>
    </row>
    <row r="14626" spans="1:2" x14ac:dyDescent="0.25">
      <c r="A14626" s="4">
        <v>14621</v>
      </c>
      <c r="B14626" s="3" t="str">
        <f>"201406015225"</f>
        <v>201406015225</v>
      </c>
    </row>
    <row r="14627" spans="1:2" x14ac:dyDescent="0.25">
      <c r="A14627" s="4">
        <v>14622</v>
      </c>
      <c r="B14627" s="3" t="str">
        <f>"201406015430"</f>
        <v>201406015430</v>
      </c>
    </row>
    <row r="14628" spans="1:2" x14ac:dyDescent="0.25">
      <c r="A14628" s="4">
        <v>14623</v>
      </c>
      <c r="B14628" s="3" t="str">
        <f>"201406015564"</f>
        <v>201406015564</v>
      </c>
    </row>
    <row r="14629" spans="1:2" x14ac:dyDescent="0.25">
      <c r="A14629" s="4">
        <v>14624</v>
      </c>
      <c r="B14629" s="3" t="str">
        <f>"201406015991"</f>
        <v>201406015991</v>
      </c>
    </row>
    <row r="14630" spans="1:2" x14ac:dyDescent="0.25">
      <c r="A14630" s="4">
        <v>14625</v>
      </c>
      <c r="B14630" s="3" t="str">
        <f>"201406016037"</f>
        <v>201406016037</v>
      </c>
    </row>
    <row r="14631" spans="1:2" x14ac:dyDescent="0.25">
      <c r="A14631" s="4">
        <v>14626</v>
      </c>
      <c r="B14631" s="3" t="str">
        <f>"201406016233"</f>
        <v>201406016233</v>
      </c>
    </row>
    <row r="14632" spans="1:2" x14ac:dyDescent="0.25">
      <c r="A14632" s="4">
        <v>14627</v>
      </c>
      <c r="B14632" s="3" t="str">
        <f>"201406016246"</f>
        <v>201406016246</v>
      </c>
    </row>
    <row r="14633" spans="1:2" x14ac:dyDescent="0.25">
      <c r="A14633" s="4">
        <v>14628</v>
      </c>
      <c r="B14633" s="3" t="str">
        <f>"201406016254"</f>
        <v>201406016254</v>
      </c>
    </row>
    <row r="14634" spans="1:2" x14ac:dyDescent="0.25">
      <c r="A14634" s="4">
        <v>14629</v>
      </c>
      <c r="B14634" s="3" t="str">
        <f>"201406016280"</f>
        <v>201406016280</v>
      </c>
    </row>
    <row r="14635" spans="1:2" x14ac:dyDescent="0.25">
      <c r="A14635" s="4">
        <v>14630</v>
      </c>
      <c r="B14635" s="3" t="str">
        <f>"201406016282"</f>
        <v>201406016282</v>
      </c>
    </row>
    <row r="14636" spans="1:2" x14ac:dyDescent="0.25">
      <c r="A14636" s="4">
        <v>14631</v>
      </c>
      <c r="B14636" s="3" t="str">
        <f>"201406016414"</f>
        <v>201406016414</v>
      </c>
    </row>
    <row r="14637" spans="1:2" x14ac:dyDescent="0.25">
      <c r="A14637" s="4">
        <v>14632</v>
      </c>
      <c r="B14637" s="3" t="str">
        <f>"201406017189"</f>
        <v>201406017189</v>
      </c>
    </row>
    <row r="14638" spans="1:2" x14ac:dyDescent="0.25">
      <c r="A14638" s="4">
        <v>14633</v>
      </c>
      <c r="B14638" s="3" t="str">
        <f>"201406017218"</f>
        <v>201406017218</v>
      </c>
    </row>
    <row r="14639" spans="1:2" x14ac:dyDescent="0.25">
      <c r="A14639" s="4">
        <v>14634</v>
      </c>
      <c r="B14639" s="3" t="str">
        <f>"201406017436"</f>
        <v>201406017436</v>
      </c>
    </row>
    <row r="14640" spans="1:2" x14ac:dyDescent="0.25">
      <c r="A14640" s="4">
        <v>14635</v>
      </c>
      <c r="B14640" s="3" t="str">
        <f>"201406017573"</f>
        <v>201406017573</v>
      </c>
    </row>
    <row r="14641" spans="1:2" x14ac:dyDescent="0.25">
      <c r="A14641" s="4">
        <v>14636</v>
      </c>
      <c r="B14641" s="3" t="str">
        <f>"201406017582"</f>
        <v>201406017582</v>
      </c>
    </row>
    <row r="14642" spans="1:2" x14ac:dyDescent="0.25">
      <c r="A14642" s="4">
        <v>14637</v>
      </c>
      <c r="B14642" s="3" t="str">
        <f>"201406017637"</f>
        <v>201406017637</v>
      </c>
    </row>
    <row r="14643" spans="1:2" x14ac:dyDescent="0.25">
      <c r="A14643" s="4">
        <v>14638</v>
      </c>
      <c r="B14643" s="3" t="str">
        <f>"201406017673"</f>
        <v>201406017673</v>
      </c>
    </row>
    <row r="14644" spans="1:2" x14ac:dyDescent="0.25">
      <c r="A14644" s="4">
        <v>14639</v>
      </c>
      <c r="B14644" s="3" t="str">
        <f>"201406017696"</f>
        <v>201406017696</v>
      </c>
    </row>
    <row r="14645" spans="1:2" x14ac:dyDescent="0.25">
      <c r="A14645" s="4">
        <v>14640</v>
      </c>
      <c r="B14645" s="3" t="str">
        <f>"201406017881"</f>
        <v>201406017881</v>
      </c>
    </row>
    <row r="14646" spans="1:2" x14ac:dyDescent="0.25">
      <c r="A14646" s="4">
        <v>14641</v>
      </c>
      <c r="B14646" s="3" t="str">
        <f>"201406017934"</f>
        <v>201406017934</v>
      </c>
    </row>
    <row r="14647" spans="1:2" x14ac:dyDescent="0.25">
      <c r="A14647" s="4">
        <v>14642</v>
      </c>
      <c r="B14647" s="3" t="str">
        <f>"201406017968"</f>
        <v>201406017968</v>
      </c>
    </row>
    <row r="14648" spans="1:2" x14ac:dyDescent="0.25">
      <c r="A14648" s="4">
        <v>14643</v>
      </c>
      <c r="B14648" s="3" t="str">
        <f>"201406018031"</f>
        <v>201406018031</v>
      </c>
    </row>
    <row r="14649" spans="1:2" x14ac:dyDescent="0.25">
      <c r="A14649" s="4">
        <v>14644</v>
      </c>
      <c r="B14649" s="3" t="str">
        <f>"201406018035"</f>
        <v>201406018035</v>
      </c>
    </row>
    <row r="14650" spans="1:2" x14ac:dyDescent="0.25">
      <c r="A14650" s="4">
        <v>14645</v>
      </c>
      <c r="B14650" s="3" t="str">
        <f>"201406018074"</f>
        <v>201406018074</v>
      </c>
    </row>
    <row r="14651" spans="1:2" x14ac:dyDescent="0.25">
      <c r="A14651" s="4">
        <v>14646</v>
      </c>
      <c r="B14651" s="3" t="str">
        <f>"201406018107"</f>
        <v>201406018107</v>
      </c>
    </row>
    <row r="14652" spans="1:2" x14ac:dyDescent="0.25">
      <c r="A14652" s="4">
        <v>14647</v>
      </c>
      <c r="B14652" s="3" t="str">
        <f>"201406018144"</f>
        <v>201406018144</v>
      </c>
    </row>
    <row r="14653" spans="1:2" x14ac:dyDescent="0.25">
      <c r="A14653" s="4">
        <v>14648</v>
      </c>
      <c r="B14653" s="3" t="str">
        <f>"201406018169"</f>
        <v>201406018169</v>
      </c>
    </row>
    <row r="14654" spans="1:2" x14ac:dyDescent="0.25">
      <c r="A14654" s="4">
        <v>14649</v>
      </c>
      <c r="B14654" s="3" t="str">
        <f>"201406018291"</f>
        <v>201406018291</v>
      </c>
    </row>
    <row r="14655" spans="1:2" x14ac:dyDescent="0.25">
      <c r="A14655" s="4">
        <v>14650</v>
      </c>
      <c r="B14655" s="3" t="str">
        <f>"201406018339"</f>
        <v>201406018339</v>
      </c>
    </row>
    <row r="14656" spans="1:2" x14ac:dyDescent="0.25">
      <c r="A14656" s="4">
        <v>14651</v>
      </c>
      <c r="B14656" s="3" t="str">
        <f>"201406018357"</f>
        <v>201406018357</v>
      </c>
    </row>
    <row r="14657" spans="1:2" x14ac:dyDescent="0.25">
      <c r="A14657" s="4">
        <v>14652</v>
      </c>
      <c r="B14657" s="3" t="str">
        <f>"201406018626"</f>
        <v>201406018626</v>
      </c>
    </row>
    <row r="14658" spans="1:2" x14ac:dyDescent="0.25">
      <c r="A14658" s="4">
        <v>14653</v>
      </c>
      <c r="B14658" s="3" t="str">
        <f>"201406018705"</f>
        <v>201406018705</v>
      </c>
    </row>
    <row r="14659" spans="1:2" x14ac:dyDescent="0.25">
      <c r="A14659" s="4">
        <v>14654</v>
      </c>
      <c r="B14659" s="3" t="str">
        <f>"201406018794"</f>
        <v>201406018794</v>
      </c>
    </row>
    <row r="14660" spans="1:2" x14ac:dyDescent="0.25">
      <c r="A14660" s="4">
        <v>14655</v>
      </c>
      <c r="B14660" s="3" t="str">
        <f>"201406018982"</f>
        <v>201406018982</v>
      </c>
    </row>
    <row r="14661" spans="1:2" x14ac:dyDescent="0.25">
      <c r="A14661" s="4">
        <v>14656</v>
      </c>
      <c r="B14661" s="3" t="str">
        <f>"201406019200"</f>
        <v>201406019200</v>
      </c>
    </row>
    <row r="14662" spans="1:2" x14ac:dyDescent="0.25">
      <c r="A14662" s="4">
        <v>14657</v>
      </c>
      <c r="B14662" s="3" t="str">
        <f>"201407000063"</f>
        <v>201407000063</v>
      </c>
    </row>
    <row r="14663" spans="1:2" x14ac:dyDescent="0.25">
      <c r="A14663" s="4">
        <v>14658</v>
      </c>
      <c r="B14663" s="3" t="str">
        <f>"201407000119"</f>
        <v>201407000119</v>
      </c>
    </row>
    <row r="14664" spans="1:2" x14ac:dyDescent="0.25">
      <c r="A14664" s="4">
        <v>14659</v>
      </c>
      <c r="B14664" s="3" t="str">
        <f>"201407000138"</f>
        <v>201407000138</v>
      </c>
    </row>
    <row r="14665" spans="1:2" x14ac:dyDescent="0.25">
      <c r="A14665" s="4">
        <v>14660</v>
      </c>
      <c r="B14665" s="3" t="str">
        <f>"201407000161"</f>
        <v>201407000161</v>
      </c>
    </row>
    <row r="14666" spans="1:2" x14ac:dyDescent="0.25">
      <c r="A14666" s="4">
        <v>14661</v>
      </c>
      <c r="B14666" s="3" t="str">
        <f>"201407000213"</f>
        <v>201407000213</v>
      </c>
    </row>
    <row r="14667" spans="1:2" x14ac:dyDescent="0.25">
      <c r="A14667" s="4">
        <v>14662</v>
      </c>
      <c r="B14667" s="3" t="str">
        <f>"201407000250"</f>
        <v>201407000250</v>
      </c>
    </row>
    <row r="14668" spans="1:2" x14ac:dyDescent="0.25">
      <c r="A14668" s="4">
        <v>14663</v>
      </c>
      <c r="B14668" s="3" t="str">
        <f>"201407000281"</f>
        <v>201407000281</v>
      </c>
    </row>
    <row r="14669" spans="1:2" x14ac:dyDescent="0.25">
      <c r="A14669" s="4">
        <v>14664</v>
      </c>
      <c r="B14669" s="3" t="str">
        <f>"201407000323"</f>
        <v>201407000323</v>
      </c>
    </row>
    <row r="14670" spans="1:2" x14ac:dyDescent="0.25">
      <c r="A14670" s="4">
        <v>14665</v>
      </c>
      <c r="B14670" s="3" t="str">
        <f>"201408000044"</f>
        <v>201408000044</v>
      </c>
    </row>
    <row r="14671" spans="1:2" x14ac:dyDescent="0.25">
      <c r="A14671" s="4">
        <v>14666</v>
      </c>
      <c r="B14671" s="3" t="str">
        <f>"201408000072"</f>
        <v>201408000072</v>
      </c>
    </row>
    <row r="14672" spans="1:2" x14ac:dyDescent="0.25">
      <c r="A14672" s="4">
        <v>14667</v>
      </c>
      <c r="B14672" s="3" t="str">
        <f>"201408000128"</f>
        <v>201408000128</v>
      </c>
    </row>
    <row r="14673" spans="1:2" x14ac:dyDescent="0.25">
      <c r="A14673" s="4">
        <v>14668</v>
      </c>
      <c r="B14673" s="3" t="str">
        <f>"201408000143"</f>
        <v>201408000143</v>
      </c>
    </row>
    <row r="14674" spans="1:2" x14ac:dyDescent="0.25">
      <c r="A14674" s="4">
        <v>14669</v>
      </c>
      <c r="B14674" s="3" t="str">
        <f>"201408000156"</f>
        <v>201408000156</v>
      </c>
    </row>
    <row r="14675" spans="1:2" x14ac:dyDescent="0.25">
      <c r="A14675" s="4">
        <v>14670</v>
      </c>
      <c r="B14675" s="3" t="str">
        <f>"201408000199"</f>
        <v>201408000199</v>
      </c>
    </row>
    <row r="14676" spans="1:2" x14ac:dyDescent="0.25">
      <c r="A14676" s="4">
        <v>14671</v>
      </c>
      <c r="B14676" s="3" t="str">
        <f>"201408000254"</f>
        <v>201408000254</v>
      </c>
    </row>
    <row r="14677" spans="1:2" x14ac:dyDescent="0.25">
      <c r="A14677" s="4">
        <v>14672</v>
      </c>
      <c r="B14677" s="3" t="str">
        <f>"201409000131"</f>
        <v>201409000131</v>
      </c>
    </row>
    <row r="14678" spans="1:2" x14ac:dyDescent="0.25">
      <c r="A14678" s="4">
        <v>14673</v>
      </c>
      <c r="B14678" s="3" t="str">
        <f>"201409000238"</f>
        <v>201409000238</v>
      </c>
    </row>
    <row r="14679" spans="1:2" x14ac:dyDescent="0.25">
      <c r="A14679" s="4">
        <v>14674</v>
      </c>
      <c r="B14679" s="3" t="str">
        <f>"201409000273"</f>
        <v>201409000273</v>
      </c>
    </row>
    <row r="14680" spans="1:2" x14ac:dyDescent="0.25">
      <c r="A14680" s="4">
        <v>14675</v>
      </c>
      <c r="B14680" s="3" t="str">
        <f>"201409001031"</f>
        <v>201409001031</v>
      </c>
    </row>
    <row r="14681" spans="1:2" x14ac:dyDescent="0.25">
      <c r="A14681" s="4">
        <v>14676</v>
      </c>
      <c r="B14681" s="3" t="str">
        <f>"201409001118"</f>
        <v>201409001118</v>
      </c>
    </row>
    <row r="14682" spans="1:2" x14ac:dyDescent="0.25">
      <c r="A14682" s="4">
        <v>14677</v>
      </c>
      <c r="B14682" s="3" t="str">
        <f>"201409001295"</f>
        <v>201409001295</v>
      </c>
    </row>
    <row r="14683" spans="1:2" x14ac:dyDescent="0.25">
      <c r="A14683" s="4">
        <v>14678</v>
      </c>
      <c r="B14683" s="3" t="str">
        <f>"201409001297"</f>
        <v>201409001297</v>
      </c>
    </row>
    <row r="14684" spans="1:2" x14ac:dyDescent="0.25">
      <c r="A14684" s="4">
        <v>14679</v>
      </c>
      <c r="B14684" s="3" t="str">
        <f>"201409001707"</f>
        <v>201409001707</v>
      </c>
    </row>
    <row r="14685" spans="1:2" x14ac:dyDescent="0.25">
      <c r="A14685" s="4">
        <v>14680</v>
      </c>
      <c r="B14685" s="3" t="str">
        <f>"201409001799"</f>
        <v>201409001799</v>
      </c>
    </row>
    <row r="14686" spans="1:2" x14ac:dyDescent="0.25">
      <c r="A14686" s="4">
        <v>14681</v>
      </c>
      <c r="B14686" s="3" t="str">
        <f>"201409001949"</f>
        <v>201409001949</v>
      </c>
    </row>
    <row r="14687" spans="1:2" x14ac:dyDescent="0.25">
      <c r="A14687" s="4">
        <v>14682</v>
      </c>
      <c r="B14687" s="3" t="str">
        <f>"201409001951"</f>
        <v>201409001951</v>
      </c>
    </row>
    <row r="14688" spans="1:2" x14ac:dyDescent="0.25">
      <c r="A14688" s="4">
        <v>14683</v>
      </c>
      <c r="B14688" s="3" t="str">
        <f>"201409002041"</f>
        <v>201409002041</v>
      </c>
    </row>
    <row r="14689" spans="1:2" x14ac:dyDescent="0.25">
      <c r="A14689" s="4">
        <v>14684</v>
      </c>
      <c r="B14689" s="3" t="str">
        <f>"201409002270"</f>
        <v>201409002270</v>
      </c>
    </row>
    <row r="14690" spans="1:2" x14ac:dyDescent="0.25">
      <c r="A14690" s="4">
        <v>14685</v>
      </c>
      <c r="B14690" s="3" t="str">
        <f>"201409002275"</f>
        <v>201409002275</v>
      </c>
    </row>
    <row r="14691" spans="1:2" x14ac:dyDescent="0.25">
      <c r="A14691" s="4">
        <v>14686</v>
      </c>
      <c r="B14691" s="3" t="str">
        <f>"201409002506"</f>
        <v>201409002506</v>
      </c>
    </row>
    <row r="14692" spans="1:2" x14ac:dyDescent="0.25">
      <c r="A14692" s="4">
        <v>14687</v>
      </c>
      <c r="B14692" s="3" t="str">
        <f>"201409002538"</f>
        <v>201409002538</v>
      </c>
    </row>
    <row r="14693" spans="1:2" x14ac:dyDescent="0.25">
      <c r="A14693" s="4">
        <v>14688</v>
      </c>
      <c r="B14693" s="3" t="str">
        <f>"201409002568"</f>
        <v>201409002568</v>
      </c>
    </row>
    <row r="14694" spans="1:2" x14ac:dyDescent="0.25">
      <c r="A14694" s="4">
        <v>14689</v>
      </c>
      <c r="B14694" s="3" t="str">
        <f>"201409002739"</f>
        <v>201409002739</v>
      </c>
    </row>
    <row r="14695" spans="1:2" x14ac:dyDescent="0.25">
      <c r="A14695" s="4">
        <v>14690</v>
      </c>
      <c r="B14695" s="3" t="str">
        <f>"201409002999"</f>
        <v>201409002999</v>
      </c>
    </row>
    <row r="14696" spans="1:2" x14ac:dyDescent="0.25">
      <c r="A14696" s="4">
        <v>14691</v>
      </c>
      <c r="B14696" s="3" t="str">
        <f>"201409003006"</f>
        <v>201409003006</v>
      </c>
    </row>
    <row r="14697" spans="1:2" x14ac:dyDescent="0.25">
      <c r="A14697" s="4">
        <v>14692</v>
      </c>
      <c r="B14697" s="3" t="str">
        <f>"201409003157"</f>
        <v>201409003157</v>
      </c>
    </row>
    <row r="14698" spans="1:2" x14ac:dyDescent="0.25">
      <c r="A14698" s="4">
        <v>14693</v>
      </c>
      <c r="B14698" s="3" t="str">
        <f>"201409003186"</f>
        <v>201409003186</v>
      </c>
    </row>
    <row r="14699" spans="1:2" x14ac:dyDescent="0.25">
      <c r="A14699" s="4">
        <v>14694</v>
      </c>
      <c r="B14699" s="3" t="str">
        <f>"201409003202"</f>
        <v>201409003202</v>
      </c>
    </row>
    <row r="14700" spans="1:2" x14ac:dyDescent="0.25">
      <c r="A14700" s="4">
        <v>14695</v>
      </c>
      <c r="B14700" s="3" t="str">
        <f>"201409003502"</f>
        <v>201409003502</v>
      </c>
    </row>
    <row r="14701" spans="1:2" x14ac:dyDescent="0.25">
      <c r="A14701" s="4">
        <v>14696</v>
      </c>
      <c r="B14701" s="3" t="str">
        <f>"201409003775"</f>
        <v>201409003775</v>
      </c>
    </row>
    <row r="14702" spans="1:2" x14ac:dyDescent="0.25">
      <c r="A14702" s="4">
        <v>14697</v>
      </c>
      <c r="B14702" s="3" t="str">
        <f>"201409003848"</f>
        <v>201409003848</v>
      </c>
    </row>
    <row r="14703" spans="1:2" x14ac:dyDescent="0.25">
      <c r="A14703" s="4">
        <v>14698</v>
      </c>
      <c r="B14703" s="3" t="str">
        <f>"201409003891"</f>
        <v>201409003891</v>
      </c>
    </row>
    <row r="14704" spans="1:2" x14ac:dyDescent="0.25">
      <c r="A14704" s="4">
        <v>14699</v>
      </c>
      <c r="B14704" s="3" t="str">
        <f>"201409003966"</f>
        <v>201409003966</v>
      </c>
    </row>
    <row r="14705" spans="1:2" x14ac:dyDescent="0.25">
      <c r="A14705" s="4">
        <v>14700</v>
      </c>
      <c r="B14705" s="3" t="str">
        <f>"201409003980"</f>
        <v>201409003980</v>
      </c>
    </row>
    <row r="14706" spans="1:2" x14ac:dyDescent="0.25">
      <c r="A14706" s="4">
        <v>14701</v>
      </c>
      <c r="B14706" s="3" t="str">
        <f>"201409004268"</f>
        <v>201409004268</v>
      </c>
    </row>
    <row r="14707" spans="1:2" x14ac:dyDescent="0.25">
      <c r="A14707" s="4">
        <v>14702</v>
      </c>
      <c r="B14707" s="3" t="str">
        <f>"201409004316"</f>
        <v>201409004316</v>
      </c>
    </row>
    <row r="14708" spans="1:2" x14ac:dyDescent="0.25">
      <c r="A14708" s="4">
        <v>14703</v>
      </c>
      <c r="B14708" s="3" t="str">
        <f>"201409004454"</f>
        <v>201409004454</v>
      </c>
    </row>
    <row r="14709" spans="1:2" x14ac:dyDescent="0.25">
      <c r="A14709" s="4">
        <v>14704</v>
      </c>
      <c r="B14709" s="3" t="str">
        <f>"201409004456"</f>
        <v>201409004456</v>
      </c>
    </row>
    <row r="14710" spans="1:2" x14ac:dyDescent="0.25">
      <c r="A14710" s="4">
        <v>14705</v>
      </c>
      <c r="B14710" s="3" t="str">
        <f>"201409004476"</f>
        <v>201409004476</v>
      </c>
    </row>
    <row r="14711" spans="1:2" x14ac:dyDescent="0.25">
      <c r="A14711" s="4">
        <v>14706</v>
      </c>
      <c r="B14711" s="3" t="str">
        <f>"201409004554"</f>
        <v>201409004554</v>
      </c>
    </row>
    <row r="14712" spans="1:2" x14ac:dyDescent="0.25">
      <c r="A14712" s="4">
        <v>14707</v>
      </c>
      <c r="B14712" s="3" t="str">
        <f>"201409004636"</f>
        <v>201409004636</v>
      </c>
    </row>
    <row r="14713" spans="1:2" x14ac:dyDescent="0.25">
      <c r="A14713" s="4">
        <v>14708</v>
      </c>
      <c r="B14713" s="3" t="str">
        <f>"201409004692"</f>
        <v>201409004692</v>
      </c>
    </row>
    <row r="14714" spans="1:2" x14ac:dyDescent="0.25">
      <c r="A14714" s="4">
        <v>14709</v>
      </c>
      <c r="B14714" s="3" t="str">
        <f>"201409004820"</f>
        <v>201409004820</v>
      </c>
    </row>
    <row r="14715" spans="1:2" x14ac:dyDescent="0.25">
      <c r="A14715" s="4">
        <v>14710</v>
      </c>
      <c r="B14715" s="3" t="str">
        <f>"201409004845"</f>
        <v>201409004845</v>
      </c>
    </row>
    <row r="14716" spans="1:2" x14ac:dyDescent="0.25">
      <c r="A14716" s="4">
        <v>14711</v>
      </c>
      <c r="B14716" s="3" t="str">
        <f>"201409004916"</f>
        <v>201409004916</v>
      </c>
    </row>
    <row r="14717" spans="1:2" x14ac:dyDescent="0.25">
      <c r="A14717" s="4">
        <v>14712</v>
      </c>
      <c r="B14717" s="3" t="str">
        <f>"201409004938"</f>
        <v>201409004938</v>
      </c>
    </row>
    <row r="14718" spans="1:2" x14ac:dyDescent="0.25">
      <c r="A14718" s="4">
        <v>14713</v>
      </c>
      <c r="B14718" s="3" t="str">
        <f>"201409005541"</f>
        <v>201409005541</v>
      </c>
    </row>
    <row r="14719" spans="1:2" x14ac:dyDescent="0.25">
      <c r="A14719" s="4">
        <v>14714</v>
      </c>
      <c r="B14719" s="3" t="str">
        <f>"201409005715"</f>
        <v>201409005715</v>
      </c>
    </row>
    <row r="14720" spans="1:2" x14ac:dyDescent="0.25">
      <c r="A14720" s="4">
        <v>14715</v>
      </c>
      <c r="B14720" s="3" t="str">
        <f>"201409005758"</f>
        <v>201409005758</v>
      </c>
    </row>
    <row r="14721" spans="1:2" x14ac:dyDescent="0.25">
      <c r="A14721" s="4">
        <v>14716</v>
      </c>
      <c r="B14721" s="3" t="str">
        <f>"201409005881"</f>
        <v>201409005881</v>
      </c>
    </row>
    <row r="14722" spans="1:2" x14ac:dyDescent="0.25">
      <c r="A14722" s="4">
        <v>14717</v>
      </c>
      <c r="B14722" s="3" t="str">
        <f>"201409005953"</f>
        <v>201409005953</v>
      </c>
    </row>
    <row r="14723" spans="1:2" x14ac:dyDescent="0.25">
      <c r="A14723" s="4">
        <v>14718</v>
      </c>
      <c r="B14723" s="3" t="str">
        <f>"201409006053"</f>
        <v>201409006053</v>
      </c>
    </row>
    <row r="14724" spans="1:2" x14ac:dyDescent="0.25">
      <c r="A14724" s="4">
        <v>14719</v>
      </c>
      <c r="B14724" s="3" t="str">
        <f>"201409006100"</f>
        <v>201409006100</v>
      </c>
    </row>
    <row r="14725" spans="1:2" x14ac:dyDescent="0.25">
      <c r="A14725" s="4">
        <v>14720</v>
      </c>
      <c r="B14725" s="3" t="str">
        <f>"201409006167"</f>
        <v>201409006167</v>
      </c>
    </row>
    <row r="14726" spans="1:2" x14ac:dyDescent="0.25">
      <c r="A14726" s="4">
        <v>14721</v>
      </c>
      <c r="B14726" s="3" t="str">
        <f>"201409006175"</f>
        <v>201409006175</v>
      </c>
    </row>
    <row r="14727" spans="1:2" x14ac:dyDescent="0.25">
      <c r="A14727" s="4">
        <v>14722</v>
      </c>
      <c r="B14727" s="3" t="str">
        <f>"201409006348"</f>
        <v>201409006348</v>
      </c>
    </row>
    <row r="14728" spans="1:2" x14ac:dyDescent="0.25">
      <c r="A14728" s="4">
        <v>14723</v>
      </c>
      <c r="B14728" s="3" t="str">
        <f>"201409006479"</f>
        <v>201409006479</v>
      </c>
    </row>
    <row r="14729" spans="1:2" x14ac:dyDescent="0.25">
      <c r="A14729" s="4">
        <v>14724</v>
      </c>
      <c r="B14729" s="3" t="str">
        <f>"201409006547"</f>
        <v>201409006547</v>
      </c>
    </row>
    <row r="14730" spans="1:2" x14ac:dyDescent="0.25">
      <c r="A14730" s="4">
        <v>14725</v>
      </c>
      <c r="B14730" s="3" t="str">
        <f>"201409006609"</f>
        <v>201409006609</v>
      </c>
    </row>
    <row r="14731" spans="1:2" x14ac:dyDescent="0.25">
      <c r="A14731" s="4">
        <v>14726</v>
      </c>
      <c r="B14731" s="3" t="str">
        <f>"201409006643"</f>
        <v>201409006643</v>
      </c>
    </row>
    <row r="14732" spans="1:2" x14ac:dyDescent="0.25">
      <c r="A14732" s="4">
        <v>14727</v>
      </c>
      <c r="B14732" s="3" t="str">
        <f>"201409006963"</f>
        <v>201409006963</v>
      </c>
    </row>
    <row r="14733" spans="1:2" x14ac:dyDescent="0.25">
      <c r="A14733" s="4">
        <v>14728</v>
      </c>
      <c r="B14733" s="3" t="str">
        <f>"201409006978"</f>
        <v>201409006978</v>
      </c>
    </row>
    <row r="14734" spans="1:2" x14ac:dyDescent="0.25">
      <c r="A14734" s="4">
        <v>14729</v>
      </c>
      <c r="B14734" s="3" t="str">
        <f>"201409007064"</f>
        <v>201409007064</v>
      </c>
    </row>
    <row r="14735" spans="1:2" x14ac:dyDescent="0.25">
      <c r="A14735" s="4">
        <v>14730</v>
      </c>
      <c r="B14735" s="3" t="str">
        <f>"201410000114"</f>
        <v>201410000114</v>
      </c>
    </row>
    <row r="14736" spans="1:2" x14ac:dyDescent="0.25">
      <c r="A14736" s="4">
        <v>14731</v>
      </c>
      <c r="B14736" s="3" t="str">
        <f>"201410000196"</f>
        <v>201410000196</v>
      </c>
    </row>
    <row r="14737" spans="1:2" x14ac:dyDescent="0.25">
      <c r="A14737" s="4">
        <v>14732</v>
      </c>
      <c r="B14737" s="3" t="str">
        <f>"201410000270"</f>
        <v>201410000270</v>
      </c>
    </row>
    <row r="14738" spans="1:2" x14ac:dyDescent="0.25">
      <c r="A14738" s="4">
        <v>14733</v>
      </c>
      <c r="B14738" s="3" t="str">
        <f>"201410000443"</f>
        <v>201410000443</v>
      </c>
    </row>
    <row r="14739" spans="1:2" x14ac:dyDescent="0.25">
      <c r="A14739" s="4">
        <v>14734</v>
      </c>
      <c r="B14739" s="3" t="str">
        <f>"201410000543"</f>
        <v>201410000543</v>
      </c>
    </row>
    <row r="14740" spans="1:2" x14ac:dyDescent="0.25">
      <c r="A14740" s="4">
        <v>14735</v>
      </c>
      <c r="B14740" s="3" t="str">
        <f>"201410001092"</f>
        <v>201410001092</v>
      </c>
    </row>
    <row r="14741" spans="1:2" x14ac:dyDescent="0.25">
      <c r="A14741" s="4">
        <v>14736</v>
      </c>
      <c r="B14741" s="3" t="str">
        <f>"201410001225"</f>
        <v>201410001225</v>
      </c>
    </row>
    <row r="14742" spans="1:2" x14ac:dyDescent="0.25">
      <c r="A14742" s="4">
        <v>14737</v>
      </c>
      <c r="B14742" s="3" t="str">
        <f>"201410001305"</f>
        <v>201410001305</v>
      </c>
    </row>
    <row r="14743" spans="1:2" x14ac:dyDescent="0.25">
      <c r="A14743" s="4">
        <v>14738</v>
      </c>
      <c r="B14743" s="3" t="str">
        <f>"201410001360"</f>
        <v>201410001360</v>
      </c>
    </row>
    <row r="14744" spans="1:2" x14ac:dyDescent="0.25">
      <c r="A14744" s="4">
        <v>14739</v>
      </c>
      <c r="B14744" s="3" t="str">
        <f>"201410001399"</f>
        <v>201410001399</v>
      </c>
    </row>
    <row r="14745" spans="1:2" x14ac:dyDescent="0.25">
      <c r="A14745" s="4">
        <v>14740</v>
      </c>
      <c r="B14745" s="3" t="str">
        <f>"201410001536"</f>
        <v>201410001536</v>
      </c>
    </row>
    <row r="14746" spans="1:2" x14ac:dyDescent="0.25">
      <c r="A14746" s="4">
        <v>14741</v>
      </c>
      <c r="B14746" s="3" t="str">
        <f>"201410001810"</f>
        <v>201410001810</v>
      </c>
    </row>
    <row r="14747" spans="1:2" x14ac:dyDescent="0.25">
      <c r="A14747" s="4">
        <v>14742</v>
      </c>
      <c r="B14747" s="3" t="str">
        <f>"201410002018"</f>
        <v>201410002018</v>
      </c>
    </row>
    <row r="14748" spans="1:2" x14ac:dyDescent="0.25">
      <c r="A14748" s="4">
        <v>14743</v>
      </c>
      <c r="B14748" s="3" t="str">
        <f>"201410002159"</f>
        <v>201410002159</v>
      </c>
    </row>
    <row r="14749" spans="1:2" x14ac:dyDescent="0.25">
      <c r="A14749" s="4">
        <v>14744</v>
      </c>
      <c r="B14749" s="3" t="str">
        <f>"201410002446"</f>
        <v>201410002446</v>
      </c>
    </row>
    <row r="14750" spans="1:2" x14ac:dyDescent="0.25">
      <c r="A14750" s="4">
        <v>14745</v>
      </c>
      <c r="B14750" s="3" t="str">
        <f>"201410002878"</f>
        <v>201410002878</v>
      </c>
    </row>
    <row r="14751" spans="1:2" x14ac:dyDescent="0.25">
      <c r="A14751" s="4">
        <v>14746</v>
      </c>
      <c r="B14751" s="3" t="str">
        <f>"201410002899"</f>
        <v>201410002899</v>
      </c>
    </row>
    <row r="14752" spans="1:2" x14ac:dyDescent="0.25">
      <c r="A14752" s="4">
        <v>14747</v>
      </c>
      <c r="B14752" s="3" t="str">
        <f>"201410003034"</f>
        <v>201410003034</v>
      </c>
    </row>
    <row r="14753" spans="1:2" x14ac:dyDescent="0.25">
      <c r="A14753" s="4">
        <v>14748</v>
      </c>
      <c r="B14753" s="3" t="str">
        <f>"201410003332"</f>
        <v>201410003332</v>
      </c>
    </row>
    <row r="14754" spans="1:2" x14ac:dyDescent="0.25">
      <c r="A14754" s="4">
        <v>14749</v>
      </c>
      <c r="B14754" s="3" t="str">
        <f>"201410003348"</f>
        <v>201410003348</v>
      </c>
    </row>
    <row r="14755" spans="1:2" x14ac:dyDescent="0.25">
      <c r="A14755" s="4">
        <v>14750</v>
      </c>
      <c r="B14755" s="3" t="str">
        <f>"201410004151"</f>
        <v>201410004151</v>
      </c>
    </row>
    <row r="14756" spans="1:2" x14ac:dyDescent="0.25">
      <c r="A14756" s="4">
        <v>14751</v>
      </c>
      <c r="B14756" s="3" t="str">
        <f>"201410005522"</f>
        <v>201410005522</v>
      </c>
    </row>
    <row r="14757" spans="1:2" x14ac:dyDescent="0.25">
      <c r="A14757" s="4">
        <v>14752</v>
      </c>
      <c r="B14757" s="3" t="str">
        <f>"201410006162"</f>
        <v>201410006162</v>
      </c>
    </row>
    <row r="14758" spans="1:2" x14ac:dyDescent="0.25">
      <c r="A14758" s="4">
        <v>14753</v>
      </c>
      <c r="B14758" s="3" t="str">
        <f>"201410006457"</f>
        <v>201410006457</v>
      </c>
    </row>
    <row r="14759" spans="1:2" x14ac:dyDescent="0.25">
      <c r="A14759" s="4">
        <v>14754</v>
      </c>
      <c r="B14759" s="3" t="str">
        <f>"201410006758"</f>
        <v>201410006758</v>
      </c>
    </row>
    <row r="14760" spans="1:2" x14ac:dyDescent="0.25">
      <c r="A14760" s="4">
        <v>14755</v>
      </c>
      <c r="B14760" s="3" t="str">
        <f>"201410007899"</f>
        <v>201410007899</v>
      </c>
    </row>
    <row r="14761" spans="1:2" x14ac:dyDescent="0.25">
      <c r="A14761" s="4">
        <v>14756</v>
      </c>
      <c r="B14761" s="3" t="str">
        <f>"201410007927"</f>
        <v>201410007927</v>
      </c>
    </row>
    <row r="14762" spans="1:2" x14ac:dyDescent="0.25">
      <c r="A14762" s="4">
        <v>14757</v>
      </c>
      <c r="B14762" s="3" t="str">
        <f>"201410007936"</f>
        <v>201410007936</v>
      </c>
    </row>
    <row r="14763" spans="1:2" x14ac:dyDescent="0.25">
      <c r="A14763" s="4">
        <v>14758</v>
      </c>
      <c r="B14763" s="3" t="str">
        <f>"201410008251"</f>
        <v>201410008251</v>
      </c>
    </row>
    <row r="14764" spans="1:2" x14ac:dyDescent="0.25">
      <c r="A14764" s="4">
        <v>14759</v>
      </c>
      <c r="B14764" s="3" t="str">
        <f>"201410008262"</f>
        <v>201410008262</v>
      </c>
    </row>
    <row r="14765" spans="1:2" x14ac:dyDescent="0.25">
      <c r="A14765" s="4">
        <v>14760</v>
      </c>
      <c r="B14765" s="3" t="str">
        <f>"201410008742"</f>
        <v>201410008742</v>
      </c>
    </row>
    <row r="14766" spans="1:2" x14ac:dyDescent="0.25">
      <c r="A14766" s="4">
        <v>14761</v>
      </c>
      <c r="B14766" s="3" t="str">
        <f>"201410008872"</f>
        <v>201410008872</v>
      </c>
    </row>
    <row r="14767" spans="1:2" x14ac:dyDescent="0.25">
      <c r="A14767" s="4">
        <v>14762</v>
      </c>
      <c r="B14767" s="3" t="str">
        <f>"201410008940"</f>
        <v>201410008940</v>
      </c>
    </row>
    <row r="14768" spans="1:2" x14ac:dyDescent="0.25">
      <c r="A14768" s="4">
        <v>14763</v>
      </c>
      <c r="B14768" s="3" t="str">
        <f>"201410009344"</f>
        <v>201410009344</v>
      </c>
    </row>
    <row r="14769" spans="1:2" x14ac:dyDescent="0.25">
      <c r="A14769" s="4">
        <v>14764</v>
      </c>
      <c r="B14769" s="3" t="str">
        <f>"201410009548"</f>
        <v>201410009548</v>
      </c>
    </row>
    <row r="14770" spans="1:2" x14ac:dyDescent="0.25">
      <c r="A14770" s="4">
        <v>14765</v>
      </c>
      <c r="B14770" s="3" t="str">
        <f>"201410009713"</f>
        <v>201410009713</v>
      </c>
    </row>
    <row r="14771" spans="1:2" x14ac:dyDescent="0.25">
      <c r="A14771" s="4">
        <v>14766</v>
      </c>
      <c r="B14771" s="3" t="str">
        <f>"201410009783"</f>
        <v>201410009783</v>
      </c>
    </row>
    <row r="14772" spans="1:2" x14ac:dyDescent="0.25">
      <c r="A14772" s="4">
        <v>14767</v>
      </c>
      <c r="B14772" s="3" t="str">
        <f>"201410009997"</f>
        <v>201410009997</v>
      </c>
    </row>
    <row r="14773" spans="1:2" x14ac:dyDescent="0.25">
      <c r="A14773" s="4">
        <v>14768</v>
      </c>
      <c r="B14773" s="3" t="str">
        <f>"201410010754"</f>
        <v>201410010754</v>
      </c>
    </row>
    <row r="14774" spans="1:2" x14ac:dyDescent="0.25">
      <c r="A14774" s="4">
        <v>14769</v>
      </c>
      <c r="B14774" s="3" t="str">
        <f>"201410010846"</f>
        <v>201410010846</v>
      </c>
    </row>
    <row r="14775" spans="1:2" x14ac:dyDescent="0.25">
      <c r="A14775" s="4">
        <v>14770</v>
      </c>
      <c r="B14775" s="3" t="str">
        <f>"201410010857"</f>
        <v>201410010857</v>
      </c>
    </row>
    <row r="14776" spans="1:2" x14ac:dyDescent="0.25">
      <c r="A14776" s="4">
        <v>14771</v>
      </c>
      <c r="B14776" s="3" t="str">
        <f>"201410010944"</f>
        <v>201410010944</v>
      </c>
    </row>
    <row r="14777" spans="1:2" x14ac:dyDescent="0.25">
      <c r="A14777" s="4">
        <v>14772</v>
      </c>
      <c r="B14777" s="3" t="str">
        <f>"201410011098"</f>
        <v>201410011098</v>
      </c>
    </row>
    <row r="14778" spans="1:2" x14ac:dyDescent="0.25">
      <c r="A14778" s="4">
        <v>14773</v>
      </c>
      <c r="B14778" s="3" t="str">
        <f>"201410011601"</f>
        <v>201410011601</v>
      </c>
    </row>
    <row r="14779" spans="1:2" x14ac:dyDescent="0.25">
      <c r="A14779" s="4">
        <v>14774</v>
      </c>
      <c r="B14779" s="3" t="str">
        <f>"201410011743"</f>
        <v>201410011743</v>
      </c>
    </row>
    <row r="14780" spans="1:2" x14ac:dyDescent="0.25">
      <c r="A14780" s="4">
        <v>14775</v>
      </c>
      <c r="B14780" s="3" t="str">
        <f>"201410011956"</f>
        <v>201410011956</v>
      </c>
    </row>
    <row r="14781" spans="1:2" x14ac:dyDescent="0.25">
      <c r="A14781" s="4">
        <v>14776</v>
      </c>
      <c r="B14781" s="3" t="str">
        <f>"201410012383"</f>
        <v>201410012383</v>
      </c>
    </row>
    <row r="14782" spans="1:2" x14ac:dyDescent="0.25">
      <c r="A14782" s="4">
        <v>14777</v>
      </c>
      <c r="B14782" s="3" t="str">
        <f>"201410012394"</f>
        <v>201410012394</v>
      </c>
    </row>
    <row r="14783" spans="1:2" x14ac:dyDescent="0.25">
      <c r="A14783" s="4">
        <v>14778</v>
      </c>
      <c r="B14783" s="3" t="str">
        <f>"201410012493"</f>
        <v>201410012493</v>
      </c>
    </row>
    <row r="14784" spans="1:2" x14ac:dyDescent="0.25">
      <c r="A14784" s="4">
        <v>14779</v>
      </c>
      <c r="B14784" s="3" t="str">
        <f>"201410012527"</f>
        <v>201410012527</v>
      </c>
    </row>
    <row r="14785" spans="1:2" x14ac:dyDescent="0.25">
      <c r="A14785" s="4">
        <v>14780</v>
      </c>
      <c r="B14785" s="3" t="str">
        <f>"201410012609"</f>
        <v>201410012609</v>
      </c>
    </row>
    <row r="14786" spans="1:2" x14ac:dyDescent="0.25">
      <c r="A14786" s="4">
        <v>14781</v>
      </c>
      <c r="B14786" s="3" t="str">
        <f>"201410012619"</f>
        <v>201410012619</v>
      </c>
    </row>
    <row r="14787" spans="1:2" x14ac:dyDescent="0.25">
      <c r="A14787" s="4">
        <v>14782</v>
      </c>
      <c r="B14787" s="3" t="str">
        <f>"201410012656"</f>
        <v>201410012656</v>
      </c>
    </row>
    <row r="14788" spans="1:2" x14ac:dyDescent="0.25">
      <c r="A14788" s="4">
        <v>14783</v>
      </c>
      <c r="B14788" s="3" t="str">
        <f>"201410012722"</f>
        <v>201410012722</v>
      </c>
    </row>
    <row r="14789" spans="1:2" x14ac:dyDescent="0.25">
      <c r="A14789" s="4">
        <v>14784</v>
      </c>
      <c r="B14789" s="3" t="str">
        <f>"201410012754"</f>
        <v>201410012754</v>
      </c>
    </row>
    <row r="14790" spans="1:2" x14ac:dyDescent="0.25">
      <c r="A14790" s="4">
        <v>14785</v>
      </c>
      <c r="B14790" s="3" t="str">
        <f>"201410012782"</f>
        <v>201410012782</v>
      </c>
    </row>
    <row r="14791" spans="1:2" x14ac:dyDescent="0.25">
      <c r="A14791" s="4">
        <v>14786</v>
      </c>
      <c r="B14791" s="3" t="str">
        <f>"201411000025"</f>
        <v>201411000025</v>
      </c>
    </row>
    <row r="14792" spans="1:2" x14ac:dyDescent="0.25">
      <c r="A14792" s="4">
        <v>14787</v>
      </c>
      <c r="B14792" s="3" t="str">
        <f>"201411000058"</f>
        <v>201411000058</v>
      </c>
    </row>
    <row r="14793" spans="1:2" x14ac:dyDescent="0.25">
      <c r="A14793" s="4">
        <v>14788</v>
      </c>
      <c r="B14793" s="3" t="str">
        <f>"201411000082"</f>
        <v>201411000082</v>
      </c>
    </row>
    <row r="14794" spans="1:2" x14ac:dyDescent="0.25">
      <c r="A14794" s="4">
        <v>14789</v>
      </c>
      <c r="B14794" s="3" t="str">
        <f>"201411001331"</f>
        <v>201411001331</v>
      </c>
    </row>
    <row r="14795" spans="1:2" x14ac:dyDescent="0.25">
      <c r="A14795" s="4">
        <v>14790</v>
      </c>
      <c r="B14795" s="3" t="str">
        <f>"201411001381"</f>
        <v>201411001381</v>
      </c>
    </row>
    <row r="14796" spans="1:2" x14ac:dyDescent="0.25">
      <c r="A14796" s="4">
        <v>14791</v>
      </c>
      <c r="B14796" s="3" t="str">
        <f>"201411001584"</f>
        <v>201411001584</v>
      </c>
    </row>
    <row r="14797" spans="1:2" x14ac:dyDescent="0.25">
      <c r="A14797" s="4">
        <v>14792</v>
      </c>
      <c r="B14797" s="3" t="str">
        <f>"201411001731"</f>
        <v>201411001731</v>
      </c>
    </row>
    <row r="14798" spans="1:2" x14ac:dyDescent="0.25">
      <c r="A14798" s="4">
        <v>14793</v>
      </c>
      <c r="B14798" s="3" t="str">
        <f>"201411001914"</f>
        <v>201411001914</v>
      </c>
    </row>
    <row r="14799" spans="1:2" x14ac:dyDescent="0.25">
      <c r="A14799" s="4">
        <v>14794</v>
      </c>
      <c r="B14799" s="3" t="str">
        <f>"201411001930"</f>
        <v>201411001930</v>
      </c>
    </row>
    <row r="14800" spans="1:2" x14ac:dyDescent="0.25">
      <c r="A14800" s="4">
        <v>14795</v>
      </c>
      <c r="B14800" s="3" t="str">
        <f>"201411002031"</f>
        <v>201411002031</v>
      </c>
    </row>
    <row r="14801" spans="1:2" x14ac:dyDescent="0.25">
      <c r="A14801" s="4">
        <v>14796</v>
      </c>
      <c r="B14801" s="3" t="str">
        <f>"201411002386"</f>
        <v>201411002386</v>
      </c>
    </row>
    <row r="14802" spans="1:2" x14ac:dyDescent="0.25">
      <c r="A14802" s="4">
        <v>14797</v>
      </c>
      <c r="B14802" s="3" t="str">
        <f>"201411002482"</f>
        <v>201411002482</v>
      </c>
    </row>
    <row r="14803" spans="1:2" x14ac:dyDescent="0.25">
      <c r="A14803" s="4">
        <v>14798</v>
      </c>
      <c r="B14803" s="3" t="str">
        <f>"201411002536"</f>
        <v>201411002536</v>
      </c>
    </row>
    <row r="14804" spans="1:2" x14ac:dyDescent="0.25">
      <c r="A14804" s="4">
        <v>14799</v>
      </c>
      <c r="B14804" s="3" t="str">
        <f>"201411002622"</f>
        <v>201411002622</v>
      </c>
    </row>
    <row r="14805" spans="1:2" x14ac:dyDescent="0.25">
      <c r="A14805" s="4">
        <v>14800</v>
      </c>
      <c r="B14805" s="3" t="str">
        <f>"201411002780"</f>
        <v>201411002780</v>
      </c>
    </row>
    <row r="14806" spans="1:2" x14ac:dyDescent="0.25">
      <c r="A14806" s="4">
        <v>14801</v>
      </c>
      <c r="B14806" s="3" t="str">
        <f>"201411003139"</f>
        <v>201411003139</v>
      </c>
    </row>
    <row r="14807" spans="1:2" x14ac:dyDescent="0.25">
      <c r="A14807" s="4">
        <v>14802</v>
      </c>
      <c r="B14807" s="3" t="str">
        <f>"201411003375"</f>
        <v>201411003375</v>
      </c>
    </row>
    <row r="14808" spans="1:2" x14ac:dyDescent="0.25">
      <c r="A14808" s="4">
        <v>14803</v>
      </c>
      <c r="B14808" s="3" t="str">
        <f>"201412000193"</f>
        <v>201412000193</v>
      </c>
    </row>
    <row r="14809" spans="1:2" x14ac:dyDescent="0.25">
      <c r="A14809" s="4">
        <v>14804</v>
      </c>
      <c r="B14809" s="3" t="str">
        <f>"201412000348"</f>
        <v>201412000348</v>
      </c>
    </row>
    <row r="14810" spans="1:2" x14ac:dyDescent="0.25">
      <c r="A14810" s="4">
        <v>14805</v>
      </c>
      <c r="B14810" s="3" t="str">
        <f>"201412000355"</f>
        <v>201412000355</v>
      </c>
    </row>
    <row r="14811" spans="1:2" x14ac:dyDescent="0.25">
      <c r="A14811" s="4">
        <v>14806</v>
      </c>
      <c r="B14811" s="3" t="str">
        <f>"201412000394"</f>
        <v>201412000394</v>
      </c>
    </row>
    <row r="14812" spans="1:2" x14ac:dyDescent="0.25">
      <c r="A14812" s="4">
        <v>14807</v>
      </c>
      <c r="B14812" s="3" t="str">
        <f>"201412000404"</f>
        <v>201412000404</v>
      </c>
    </row>
    <row r="14813" spans="1:2" x14ac:dyDescent="0.25">
      <c r="A14813" s="4">
        <v>14808</v>
      </c>
      <c r="B14813" s="3" t="str">
        <f>"201412000416"</f>
        <v>201412000416</v>
      </c>
    </row>
    <row r="14814" spans="1:2" x14ac:dyDescent="0.25">
      <c r="A14814" s="4">
        <v>14809</v>
      </c>
      <c r="B14814" s="3" t="str">
        <f>"201412000525"</f>
        <v>201412000525</v>
      </c>
    </row>
    <row r="14815" spans="1:2" x14ac:dyDescent="0.25">
      <c r="A14815" s="4">
        <v>14810</v>
      </c>
      <c r="B14815" s="3" t="str">
        <f>"201412000545"</f>
        <v>201412000545</v>
      </c>
    </row>
    <row r="14816" spans="1:2" x14ac:dyDescent="0.25">
      <c r="A14816" s="4">
        <v>14811</v>
      </c>
      <c r="B14816" s="3" t="str">
        <f>"201412000558"</f>
        <v>201412000558</v>
      </c>
    </row>
    <row r="14817" spans="1:2" x14ac:dyDescent="0.25">
      <c r="A14817" s="4">
        <v>14812</v>
      </c>
      <c r="B14817" s="3" t="str">
        <f>"201412000565"</f>
        <v>201412000565</v>
      </c>
    </row>
    <row r="14818" spans="1:2" x14ac:dyDescent="0.25">
      <c r="A14818" s="4">
        <v>14813</v>
      </c>
      <c r="B14818" s="3" t="str">
        <f>"201412000843"</f>
        <v>201412000843</v>
      </c>
    </row>
    <row r="14819" spans="1:2" x14ac:dyDescent="0.25">
      <c r="A14819" s="4">
        <v>14814</v>
      </c>
      <c r="B14819" s="3" t="str">
        <f>"201412001010"</f>
        <v>201412001010</v>
      </c>
    </row>
    <row r="14820" spans="1:2" x14ac:dyDescent="0.25">
      <c r="A14820" s="4">
        <v>14815</v>
      </c>
      <c r="B14820" s="3" t="str">
        <f>"201412001046"</f>
        <v>201412001046</v>
      </c>
    </row>
    <row r="14821" spans="1:2" x14ac:dyDescent="0.25">
      <c r="A14821" s="4">
        <v>14816</v>
      </c>
      <c r="B14821" s="3" t="str">
        <f>"201412001073"</f>
        <v>201412001073</v>
      </c>
    </row>
    <row r="14822" spans="1:2" x14ac:dyDescent="0.25">
      <c r="A14822" s="4">
        <v>14817</v>
      </c>
      <c r="B14822" s="3" t="str">
        <f>"201412001167"</f>
        <v>201412001167</v>
      </c>
    </row>
    <row r="14823" spans="1:2" x14ac:dyDescent="0.25">
      <c r="A14823" s="4">
        <v>14818</v>
      </c>
      <c r="B14823" s="3" t="str">
        <f>"201412001179"</f>
        <v>201412001179</v>
      </c>
    </row>
    <row r="14824" spans="1:2" x14ac:dyDescent="0.25">
      <c r="A14824" s="4">
        <v>14819</v>
      </c>
      <c r="B14824" s="3" t="str">
        <f>"201412001829"</f>
        <v>201412001829</v>
      </c>
    </row>
    <row r="14825" spans="1:2" x14ac:dyDescent="0.25">
      <c r="A14825" s="4">
        <v>14820</v>
      </c>
      <c r="B14825" s="3" t="str">
        <f>"201412001877"</f>
        <v>201412001877</v>
      </c>
    </row>
    <row r="14826" spans="1:2" x14ac:dyDescent="0.25">
      <c r="A14826" s="4">
        <v>14821</v>
      </c>
      <c r="B14826" s="3" t="str">
        <f>"201412001886"</f>
        <v>201412001886</v>
      </c>
    </row>
    <row r="14827" spans="1:2" x14ac:dyDescent="0.25">
      <c r="A14827" s="4">
        <v>14822</v>
      </c>
      <c r="B14827" s="3" t="str">
        <f>"201412002048"</f>
        <v>201412002048</v>
      </c>
    </row>
    <row r="14828" spans="1:2" x14ac:dyDescent="0.25">
      <c r="A14828" s="4">
        <v>14823</v>
      </c>
      <c r="B14828" s="3" t="str">
        <f>"201412002150"</f>
        <v>201412002150</v>
      </c>
    </row>
    <row r="14829" spans="1:2" x14ac:dyDescent="0.25">
      <c r="A14829" s="4">
        <v>14824</v>
      </c>
      <c r="B14829" s="3" t="str">
        <f>"201412002310"</f>
        <v>201412002310</v>
      </c>
    </row>
    <row r="14830" spans="1:2" x14ac:dyDescent="0.25">
      <c r="A14830" s="4">
        <v>14825</v>
      </c>
      <c r="B14830" s="3" t="str">
        <f>"201412002440"</f>
        <v>201412002440</v>
      </c>
    </row>
    <row r="14831" spans="1:2" x14ac:dyDescent="0.25">
      <c r="A14831" s="4">
        <v>14826</v>
      </c>
      <c r="B14831" s="3" t="str">
        <f>"201412002638"</f>
        <v>201412002638</v>
      </c>
    </row>
    <row r="14832" spans="1:2" x14ac:dyDescent="0.25">
      <c r="A14832" s="4">
        <v>14827</v>
      </c>
      <c r="B14832" s="3" t="str">
        <f>"201412002713"</f>
        <v>201412002713</v>
      </c>
    </row>
    <row r="14833" spans="1:2" x14ac:dyDescent="0.25">
      <c r="A14833" s="4">
        <v>14828</v>
      </c>
      <c r="B14833" s="3" t="str">
        <f>"201412002745"</f>
        <v>201412002745</v>
      </c>
    </row>
    <row r="14834" spans="1:2" x14ac:dyDescent="0.25">
      <c r="A14834" s="4">
        <v>14829</v>
      </c>
      <c r="B14834" s="3" t="str">
        <f>"201412002782"</f>
        <v>201412002782</v>
      </c>
    </row>
    <row r="14835" spans="1:2" x14ac:dyDescent="0.25">
      <c r="A14835" s="4">
        <v>14830</v>
      </c>
      <c r="B14835" s="3" t="str">
        <f>"201412002787"</f>
        <v>201412002787</v>
      </c>
    </row>
    <row r="14836" spans="1:2" x14ac:dyDescent="0.25">
      <c r="A14836" s="4">
        <v>14831</v>
      </c>
      <c r="B14836" s="3" t="str">
        <f>"201412002801"</f>
        <v>201412002801</v>
      </c>
    </row>
    <row r="14837" spans="1:2" x14ac:dyDescent="0.25">
      <c r="A14837" s="4">
        <v>14832</v>
      </c>
      <c r="B14837" s="3" t="str">
        <f>"201412002833"</f>
        <v>201412002833</v>
      </c>
    </row>
    <row r="14838" spans="1:2" x14ac:dyDescent="0.25">
      <c r="A14838" s="4">
        <v>14833</v>
      </c>
      <c r="B14838" s="3" t="str">
        <f>"201412003137"</f>
        <v>201412003137</v>
      </c>
    </row>
    <row r="14839" spans="1:2" x14ac:dyDescent="0.25">
      <c r="A14839" s="4">
        <v>14834</v>
      </c>
      <c r="B14839" s="3" t="str">
        <f>"201412003138"</f>
        <v>201412003138</v>
      </c>
    </row>
    <row r="14840" spans="1:2" x14ac:dyDescent="0.25">
      <c r="A14840" s="4">
        <v>14835</v>
      </c>
      <c r="B14840" s="3" t="str">
        <f>"201412003309"</f>
        <v>201412003309</v>
      </c>
    </row>
    <row r="14841" spans="1:2" x14ac:dyDescent="0.25">
      <c r="A14841" s="4">
        <v>14836</v>
      </c>
      <c r="B14841" s="3" t="str">
        <f>"201412003347"</f>
        <v>201412003347</v>
      </c>
    </row>
    <row r="14842" spans="1:2" x14ac:dyDescent="0.25">
      <c r="A14842" s="4">
        <v>14837</v>
      </c>
      <c r="B14842" s="3" t="str">
        <f>"201412003372"</f>
        <v>201412003372</v>
      </c>
    </row>
    <row r="14843" spans="1:2" x14ac:dyDescent="0.25">
      <c r="A14843" s="4">
        <v>14838</v>
      </c>
      <c r="B14843" s="3" t="str">
        <f>"201412003376"</f>
        <v>201412003376</v>
      </c>
    </row>
    <row r="14844" spans="1:2" x14ac:dyDescent="0.25">
      <c r="A14844" s="4">
        <v>14839</v>
      </c>
      <c r="B14844" s="3" t="str">
        <f>"201412003433"</f>
        <v>201412003433</v>
      </c>
    </row>
    <row r="14845" spans="1:2" x14ac:dyDescent="0.25">
      <c r="A14845" s="4">
        <v>14840</v>
      </c>
      <c r="B14845" s="3" t="str">
        <f>"201412003478"</f>
        <v>201412003478</v>
      </c>
    </row>
    <row r="14846" spans="1:2" x14ac:dyDescent="0.25">
      <c r="A14846" s="4">
        <v>14841</v>
      </c>
      <c r="B14846" s="3" t="str">
        <f>"201412003687"</f>
        <v>201412003687</v>
      </c>
    </row>
    <row r="14847" spans="1:2" x14ac:dyDescent="0.25">
      <c r="A14847" s="4">
        <v>14842</v>
      </c>
      <c r="B14847" s="3" t="str">
        <f>"201412003722"</f>
        <v>201412003722</v>
      </c>
    </row>
    <row r="14848" spans="1:2" x14ac:dyDescent="0.25">
      <c r="A14848" s="4">
        <v>14843</v>
      </c>
      <c r="B14848" s="3" t="str">
        <f>"201412004009"</f>
        <v>201412004009</v>
      </c>
    </row>
    <row r="14849" spans="1:2" x14ac:dyDescent="0.25">
      <c r="A14849" s="4">
        <v>14844</v>
      </c>
      <c r="B14849" s="3" t="str">
        <f>"201412004121"</f>
        <v>201412004121</v>
      </c>
    </row>
    <row r="14850" spans="1:2" x14ac:dyDescent="0.25">
      <c r="A14850" s="4">
        <v>14845</v>
      </c>
      <c r="B14850" s="3" t="str">
        <f>"201412004153"</f>
        <v>201412004153</v>
      </c>
    </row>
    <row r="14851" spans="1:2" x14ac:dyDescent="0.25">
      <c r="A14851" s="4">
        <v>14846</v>
      </c>
      <c r="B14851" s="3" t="str">
        <f>"201412004200"</f>
        <v>201412004200</v>
      </c>
    </row>
    <row r="14852" spans="1:2" x14ac:dyDescent="0.25">
      <c r="A14852" s="4">
        <v>14847</v>
      </c>
      <c r="B14852" s="3" t="str">
        <f>"201412004360"</f>
        <v>201412004360</v>
      </c>
    </row>
    <row r="14853" spans="1:2" x14ac:dyDescent="0.25">
      <c r="A14853" s="4">
        <v>14848</v>
      </c>
      <c r="B14853" s="3" t="str">
        <f>"201412004517"</f>
        <v>201412004517</v>
      </c>
    </row>
    <row r="14854" spans="1:2" x14ac:dyDescent="0.25">
      <c r="A14854" s="4">
        <v>14849</v>
      </c>
      <c r="B14854" s="3" t="str">
        <f>"201412004556"</f>
        <v>201412004556</v>
      </c>
    </row>
    <row r="14855" spans="1:2" x14ac:dyDescent="0.25">
      <c r="A14855" s="4">
        <v>14850</v>
      </c>
      <c r="B14855" s="3" t="str">
        <f>"201412004571"</f>
        <v>201412004571</v>
      </c>
    </row>
    <row r="14856" spans="1:2" x14ac:dyDescent="0.25">
      <c r="A14856" s="4">
        <v>14851</v>
      </c>
      <c r="B14856" s="3" t="str">
        <f>"201412004634"</f>
        <v>201412004634</v>
      </c>
    </row>
    <row r="14857" spans="1:2" x14ac:dyDescent="0.25">
      <c r="A14857" s="4">
        <v>14852</v>
      </c>
      <c r="B14857" s="3" t="str">
        <f>"201412004706"</f>
        <v>201412004706</v>
      </c>
    </row>
    <row r="14858" spans="1:2" x14ac:dyDescent="0.25">
      <c r="A14858" s="4">
        <v>14853</v>
      </c>
      <c r="B14858" s="3" t="str">
        <f>"201412004874"</f>
        <v>201412004874</v>
      </c>
    </row>
    <row r="14859" spans="1:2" x14ac:dyDescent="0.25">
      <c r="A14859" s="4">
        <v>14854</v>
      </c>
      <c r="B14859" s="3" t="str">
        <f>"201412004959"</f>
        <v>201412004959</v>
      </c>
    </row>
    <row r="14860" spans="1:2" x14ac:dyDescent="0.25">
      <c r="A14860" s="4">
        <v>14855</v>
      </c>
      <c r="B14860" s="3" t="str">
        <f>"201412004990"</f>
        <v>201412004990</v>
      </c>
    </row>
    <row r="14861" spans="1:2" x14ac:dyDescent="0.25">
      <c r="A14861" s="4">
        <v>14856</v>
      </c>
      <c r="B14861" s="3" t="str">
        <f>"201412005013"</f>
        <v>201412005013</v>
      </c>
    </row>
    <row r="14862" spans="1:2" x14ac:dyDescent="0.25">
      <c r="A14862" s="4">
        <v>14857</v>
      </c>
      <c r="B14862" s="3" t="str">
        <f>"201412005033"</f>
        <v>201412005033</v>
      </c>
    </row>
    <row r="14863" spans="1:2" x14ac:dyDescent="0.25">
      <c r="A14863" s="4">
        <v>14858</v>
      </c>
      <c r="B14863" s="3" t="str">
        <f>"201412005215"</f>
        <v>201412005215</v>
      </c>
    </row>
    <row r="14864" spans="1:2" x14ac:dyDescent="0.25">
      <c r="A14864" s="4">
        <v>14859</v>
      </c>
      <c r="B14864" s="3" t="str">
        <f>"201412005246"</f>
        <v>201412005246</v>
      </c>
    </row>
    <row r="14865" spans="1:2" x14ac:dyDescent="0.25">
      <c r="A14865" s="4">
        <v>14860</v>
      </c>
      <c r="B14865" s="3" t="str">
        <f>"201412005257"</f>
        <v>201412005257</v>
      </c>
    </row>
    <row r="14866" spans="1:2" x14ac:dyDescent="0.25">
      <c r="A14866" s="4">
        <v>14861</v>
      </c>
      <c r="B14866" s="3" t="str">
        <f>"201412005295"</f>
        <v>201412005295</v>
      </c>
    </row>
    <row r="14867" spans="1:2" x14ac:dyDescent="0.25">
      <c r="A14867" s="4">
        <v>14862</v>
      </c>
      <c r="B14867" s="3" t="str">
        <f>"201412005403"</f>
        <v>201412005403</v>
      </c>
    </row>
    <row r="14868" spans="1:2" x14ac:dyDescent="0.25">
      <c r="A14868" s="4">
        <v>14863</v>
      </c>
      <c r="B14868" s="3" t="str">
        <f>"201412005500"</f>
        <v>201412005500</v>
      </c>
    </row>
    <row r="14869" spans="1:2" x14ac:dyDescent="0.25">
      <c r="A14869" s="4">
        <v>14864</v>
      </c>
      <c r="B14869" s="3" t="str">
        <f>"201412005625"</f>
        <v>201412005625</v>
      </c>
    </row>
    <row r="14870" spans="1:2" x14ac:dyDescent="0.25">
      <c r="A14870" s="4">
        <v>14865</v>
      </c>
      <c r="B14870" s="3" t="str">
        <f>"201412005767"</f>
        <v>201412005767</v>
      </c>
    </row>
    <row r="14871" spans="1:2" x14ac:dyDescent="0.25">
      <c r="A14871" s="4">
        <v>14866</v>
      </c>
      <c r="B14871" s="3" t="str">
        <f>"201412005777"</f>
        <v>201412005777</v>
      </c>
    </row>
    <row r="14872" spans="1:2" x14ac:dyDescent="0.25">
      <c r="A14872" s="4">
        <v>14867</v>
      </c>
      <c r="B14872" s="3" t="str">
        <f>"201412005918"</f>
        <v>201412005918</v>
      </c>
    </row>
    <row r="14873" spans="1:2" x14ac:dyDescent="0.25">
      <c r="A14873" s="4">
        <v>14868</v>
      </c>
      <c r="B14873" s="3" t="str">
        <f>"201412005950"</f>
        <v>201412005950</v>
      </c>
    </row>
    <row r="14874" spans="1:2" x14ac:dyDescent="0.25">
      <c r="A14874" s="4">
        <v>14869</v>
      </c>
      <c r="B14874" s="3" t="str">
        <f>"201412005961"</f>
        <v>201412005961</v>
      </c>
    </row>
    <row r="14875" spans="1:2" x14ac:dyDescent="0.25">
      <c r="A14875" s="4">
        <v>14870</v>
      </c>
      <c r="B14875" s="3" t="str">
        <f>"201412006022"</f>
        <v>201412006022</v>
      </c>
    </row>
    <row r="14876" spans="1:2" x14ac:dyDescent="0.25">
      <c r="A14876" s="4">
        <v>14871</v>
      </c>
      <c r="B14876" s="3" t="str">
        <f>"201412006027"</f>
        <v>201412006027</v>
      </c>
    </row>
    <row r="14877" spans="1:2" x14ac:dyDescent="0.25">
      <c r="A14877" s="4">
        <v>14872</v>
      </c>
      <c r="B14877" s="3" t="str">
        <f>"201412006093"</f>
        <v>201412006093</v>
      </c>
    </row>
    <row r="14878" spans="1:2" x14ac:dyDescent="0.25">
      <c r="A14878" s="4">
        <v>14873</v>
      </c>
      <c r="B14878" s="3" t="str">
        <f>"201412006098"</f>
        <v>201412006098</v>
      </c>
    </row>
    <row r="14879" spans="1:2" x14ac:dyDescent="0.25">
      <c r="A14879" s="4">
        <v>14874</v>
      </c>
      <c r="B14879" s="3" t="str">
        <f>"201412006162"</f>
        <v>201412006162</v>
      </c>
    </row>
    <row r="14880" spans="1:2" x14ac:dyDescent="0.25">
      <c r="A14880" s="4">
        <v>14875</v>
      </c>
      <c r="B14880" s="3" t="str">
        <f>"201412006187"</f>
        <v>201412006187</v>
      </c>
    </row>
    <row r="14881" spans="1:2" x14ac:dyDescent="0.25">
      <c r="A14881" s="4">
        <v>14876</v>
      </c>
      <c r="B14881" s="3" t="str">
        <f>"201412006296"</f>
        <v>201412006296</v>
      </c>
    </row>
    <row r="14882" spans="1:2" x14ac:dyDescent="0.25">
      <c r="A14882" s="4">
        <v>14877</v>
      </c>
      <c r="B14882" s="3" t="str">
        <f>"201412006385"</f>
        <v>201412006385</v>
      </c>
    </row>
    <row r="14883" spans="1:2" x14ac:dyDescent="0.25">
      <c r="A14883" s="4">
        <v>14878</v>
      </c>
      <c r="B14883" s="3" t="str">
        <f>"201412006417"</f>
        <v>201412006417</v>
      </c>
    </row>
    <row r="14884" spans="1:2" x14ac:dyDescent="0.25">
      <c r="A14884" s="4">
        <v>14879</v>
      </c>
      <c r="B14884" s="3" t="str">
        <f>"201412006662"</f>
        <v>201412006662</v>
      </c>
    </row>
    <row r="14885" spans="1:2" x14ac:dyDescent="0.25">
      <c r="A14885" s="4">
        <v>14880</v>
      </c>
      <c r="B14885" s="3" t="str">
        <f>"201412006769"</f>
        <v>201412006769</v>
      </c>
    </row>
    <row r="14886" spans="1:2" x14ac:dyDescent="0.25">
      <c r="A14886" s="4">
        <v>14881</v>
      </c>
      <c r="B14886" s="3" t="str">
        <f>"201412006964"</f>
        <v>201412006964</v>
      </c>
    </row>
    <row r="14887" spans="1:2" x14ac:dyDescent="0.25">
      <c r="A14887" s="4">
        <v>14882</v>
      </c>
      <c r="B14887" s="3" t="str">
        <f>"201412007003"</f>
        <v>201412007003</v>
      </c>
    </row>
    <row r="14888" spans="1:2" x14ac:dyDescent="0.25">
      <c r="A14888" s="4">
        <v>14883</v>
      </c>
      <c r="B14888" s="3" t="str">
        <f>"201412007181"</f>
        <v>201412007181</v>
      </c>
    </row>
    <row r="14889" spans="1:2" x14ac:dyDescent="0.25">
      <c r="A14889" s="4">
        <v>14884</v>
      </c>
      <c r="B14889" s="3" t="str">
        <f>"201412007215"</f>
        <v>201412007215</v>
      </c>
    </row>
    <row r="14890" spans="1:2" x14ac:dyDescent="0.25">
      <c r="A14890" s="4">
        <v>14885</v>
      </c>
      <c r="B14890" s="3" t="str">
        <f>"201412007239"</f>
        <v>201412007239</v>
      </c>
    </row>
    <row r="14891" spans="1:2" x14ac:dyDescent="0.25">
      <c r="A14891" s="4">
        <v>14886</v>
      </c>
      <c r="B14891" s="3" t="str">
        <f>"201412007302"</f>
        <v>201412007302</v>
      </c>
    </row>
    <row r="14892" spans="1:2" x14ac:dyDescent="0.25">
      <c r="A14892" s="4">
        <v>14887</v>
      </c>
      <c r="B14892" s="3" t="str">
        <f>"201412007307"</f>
        <v>201412007307</v>
      </c>
    </row>
    <row r="14893" spans="1:2" x14ac:dyDescent="0.25">
      <c r="A14893" s="4">
        <v>14888</v>
      </c>
      <c r="B14893" s="3" t="str">
        <f>"201412007310"</f>
        <v>201412007310</v>
      </c>
    </row>
    <row r="14894" spans="1:2" x14ac:dyDescent="0.25">
      <c r="A14894" s="4">
        <v>14889</v>
      </c>
      <c r="B14894" s="3" t="str">
        <f>"201412007359"</f>
        <v>201412007359</v>
      </c>
    </row>
    <row r="14895" spans="1:2" x14ac:dyDescent="0.25">
      <c r="A14895" s="4">
        <v>14890</v>
      </c>
      <c r="B14895" s="3" t="str">
        <f>"201412007423"</f>
        <v>201412007423</v>
      </c>
    </row>
    <row r="14896" spans="1:2" x14ac:dyDescent="0.25">
      <c r="A14896" s="4">
        <v>14891</v>
      </c>
      <c r="B14896" s="3" t="str">
        <f>"201501000007"</f>
        <v>201501000007</v>
      </c>
    </row>
    <row r="14897" spans="1:2" x14ac:dyDescent="0.25">
      <c r="A14897" s="4">
        <v>14892</v>
      </c>
      <c r="B14897" s="3" t="str">
        <f>"201501000025"</f>
        <v>201501000025</v>
      </c>
    </row>
    <row r="14898" spans="1:2" x14ac:dyDescent="0.25">
      <c r="A14898" s="4">
        <v>14893</v>
      </c>
      <c r="B14898" s="3" t="str">
        <f>"201501000033"</f>
        <v>201501000033</v>
      </c>
    </row>
    <row r="14899" spans="1:2" x14ac:dyDescent="0.25">
      <c r="A14899" s="4">
        <v>14894</v>
      </c>
      <c r="B14899" s="3" t="str">
        <f>"201501000047"</f>
        <v>201501000047</v>
      </c>
    </row>
    <row r="14900" spans="1:2" x14ac:dyDescent="0.25">
      <c r="A14900" s="4">
        <v>14895</v>
      </c>
      <c r="B14900" s="3" t="str">
        <f>"201501000070"</f>
        <v>201501000070</v>
      </c>
    </row>
    <row r="14901" spans="1:2" x14ac:dyDescent="0.25">
      <c r="A14901" s="4">
        <v>14896</v>
      </c>
      <c r="B14901" s="3" t="str">
        <f>"201501000262"</f>
        <v>201501000262</v>
      </c>
    </row>
    <row r="14902" spans="1:2" x14ac:dyDescent="0.25">
      <c r="A14902" s="4">
        <v>14897</v>
      </c>
      <c r="B14902" s="3" t="str">
        <f>"201501000378"</f>
        <v>201501000378</v>
      </c>
    </row>
    <row r="14903" spans="1:2" x14ac:dyDescent="0.25">
      <c r="A14903" s="4">
        <v>14898</v>
      </c>
      <c r="B14903" s="3" t="str">
        <f>"201501000406"</f>
        <v>201501000406</v>
      </c>
    </row>
    <row r="14904" spans="1:2" x14ac:dyDescent="0.25">
      <c r="A14904" s="4">
        <v>14899</v>
      </c>
      <c r="B14904" s="3" t="str">
        <f>"201501000484"</f>
        <v>201501000484</v>
      </c>
    </row>
    <row r="14905" spans="1:2" x14ac:dyDescent="0.25">
      <c r="A14905" s="4">
        <v>14900</v>
      </c>
      <c r="B14905" s="3" t="str">
        <f>"201501000584"</f>
        <v>201501000584</v>
      </c>
    </row>
    <row r="14906" spans="1:2" x14ac:dyDescent="0.25">
      <c r="A14906" s="4">
        <v>14901</v>
      </c>
      <c r="B14906" s="3" t="str">
        <f>"201502000185"</f>
        <v>201502000185</v>
      </c>
    </row>
    <row r="14907" spans="1:2" x14ac:dyDescent="0.25">
      <c r="A14907" s="4">
        <v>14902</v>
      </c>
      <c r="B14907" s="3" t="str">
        <f>"201502000431"</f>
        <v>201502000431</v>
      </c>
    </row>
    <row r="14908" spans="1:2" x14ac:dyDescent="0.25">
      <c r="A14908" s="4">
        <v>14903</v>
      </c>
      <c r="B14908" s="3" t="str">
        <f>"201502000446"</f>
        <v>201502000446</v>
      </c>
    </row>
    <row r="14909" spans="1:2" x14ac:dyDescent="0.25">
      <c r="A14909" s="4">
        <v>14904</v>
      </c>
      <c r="B14909" s="3" t="str">
        <f>"201502000593"</f>
        <v>201502000593</v>
      </c>
    </row>
    <row r="14910" spans="1:2" x14ac:dyDescent="0.25">
      <c r="A14910" s="4">
        <v>14905</v>
      </c>
      <c r="B14910" s="3" t="str">
        <f>"201502000594"</f>
        <v>201502000594</v>
      </c>
    </row>
    <row r="14911" spans="1:2" x14ac:dyDescent="0.25">
      <c r="A14911" s="4">
        <v>14906</v>
      </c>
      <c r="B14911" s="3" t="str">
        <f>"201502000602"</f>
        <v>201502000602</v>
      </c>
    </row>
    <row r="14912" spans="1:2" x14ac:dyDescent="0.25">
      <c r="A14912" s="4">
        <v>14907</v>
      </c>
      <c r="B14912" s="3" t="str">
        <f>"201502000726"</f>
        <v>201502000726</v>
      </c>
    </row>
    <row r="14913" spans="1:2" x14ac:dyDescent="0.25">
      <c r="A14913" s="4">
        <v>14908</v>
      </c>
      <c r="B14913" s="3" t="str">
        <f>"201502000755"</f>
        <v>201502000755</v>
      </c>
    </row>
    <row r="14914" spans="1:2" x14ac:dyDescent="0.25">
      <c r="A14914" s="4">
        <v>14909</v>
      </c>
      <c r="B14914" s="3" t="str">
        <f>"201502000769"</f>
        <v>201502000769</v>
      </c>
    </row>
    <row r="14915" spans="1:2" x14ac:dyDescent="0.25">
      <c r="A14915" s="4">
        <v>14910</v>
      </c>
      <c r="B14915" s="3" t="str">
        <f>"201502000819"</f>
        <v>201502000819</v>
      </c>
    </row>
    <row r="14916" spans="1:2" x14ac:dyDescent="0.25">
      <c r="A14916" s="4">
        <v>14911</v>
      </c>
      <c r="B14916" s="3" t="str">
        <f>"201502000869"</f>
        <v>201502000869</v>
      </c>
    </row>
    <row r="14917" spans="1:2" x14ac:dyDescent="0.25">
      <c r="A14917" s="4">
        <v>14912</v>
      </c>
      <c r="B14917" s="3" t="str">
        <f>"201502000904"</f>
        <v>201502000904</v>
      </c>
    </row>
    <row r="14918" spans="1:2" x14ac:dyDescent="0.25">
      <c r="A14918" s="4">
        <v>14913</v>
      </c>
      <c r="B14918" s="3" t="str">
        <f>"201502000937"</f>
        <v>201502000937</v>
      </c>
    </row>
    <row r="14919" spans="1:2" x14ac:dyDescent="0.25">
      <c r="A14919" s="4">
        <v>14914</v>
      </c>
      <c r="B14919" s="3" t="str">
        <f>"201502000959"</f>
        <v>201502000959</v>
      </c>
    </row>
    <row r="14920" spans="1:2" x14ac:dyDescent="0.25">
      <c r="A14920" s="4">
        <v>14915</v>
      </c>
      <c r="B14920" s="3" t="str">
        <f>"201502000967"</f>
        <v>201502000967</v>
      </c>
    </row>
    <row r="14921" spans="1:2" x14ac:dyDescent="0.25">
      <c r="A14921" s="4">
        <v>14916</v>
      </c>
      <c r="B14921" s="3" t="str">
        <f>"201502001002"</f>
        <v>201502001002</v>
      </c>
    </row>
    <row r="14922" spans="1:2" x14ac:dyDescent="0.25">
      <c r="A14922" s="4">
        <v>14917</v>
      </c>
      <c r="B14922" s="3" t="str">
        <f>"201502001029"</f>
        <v>201502001029</v>
      </c>
    </row>
    <row r="14923" spans="1:2" x14ac:dyDescent="0.25">
      <c r="A14923" s="4">
        <v>14918</v>
      </c>
      <c r="B14923" s="3" t="str">
        <f>"201502001116"</f>
        <v>201502001116</v>
      </c>
    </row>
    <row r="14924" spans="1:2" x14ac:dyDescent="0.25">
      <c r="A14924" s="4">
        <v>14919</v>
      </c>
      <c r="B14924" s="3" t="str">
        <f>"201502001260"</f>
        <v>201502001260</v>
      </c>
    </row>
    <row r="14925" spans="1:2" x14ac:dyDescent="0.25">
      <c r="A14925" s="4">
        <v>14920</v>
      </c>
      <c r="B14925" s="3" t="str">
        <f>"201502001274"</f>
        <v>201502001274</v>
      </c>
    </row>
    <row r="14926" spans="1:2" x14ac:dyDescent="0.25">
      <c r="A14926" s="4">
        <v>14921</v>
      </c>
      <c r="B14926" s="3" t="str">
        <f>"201502001347"</f>
        <v>201502001347</v>
      </c>
    </row>
    <row r="14927" spans="1:2" x14ac:dyDescent="0.25">
      <c r="A14927" s="4">
        <v>14922</v>
      </c>
      <c r="B14927" s="3" t="str">
        <f>"201502001387"</f>
        <v>201502001387</v>
      </c>
    </row>
    <row r="14928" spans="1:2" x14ac:dyDescent="0.25">
      <c r="A14928" s="4">
        <v>14923</v>
      </c>
      <c r="B14928" s="3" t="str">
        <f>"201502001436"</f>
        <v>201502001436</v>
      </c>
    </row>
    <row r="14929" spans="1:2" x14ac:dyDescent="0.25">
      <c r="A14929" s="4">
        <v>14924</v>
      </c>
      <c r="B14929" s="3" t="str">
        <f>"201502001455"</f>
        <v>201502001455</v>
      </c>
    </row>
    <row r="14930" spans="1:2" x14ac:dyDescent="0.25">
      <c r="A14930" s="4">
        <v>14925</v>
      </c>
      <c r="B14930" s="3" t="str">
        <f>"201502001463"</f>
        <v>201502001463</v>
      </c>
    </row>
    <row r="14931" spans="1:2" x14ac:dyDescent="0.25">
      <c r="A14931" s="4">
        <v>14926</v>
      </c>
      <c r="B14931" s="3" t="str">
        <f>"201502001509"</f>
        <v>201502001509</v>
      </c>
    </row>
    <row r="14932" spans="1:2" x14ac:dyDescent="0.25">
      <c r="A14932" s="4">
        <v>14927</v>
      </c>
      <c r="B14932" s="3" t="str">
        <f>"201502001513"</f>
        <v>201502001513</v>
      </c>
    </row>
    <row r="14933" spans="1:2" x14ac:dyDescent="0.25">
      <c r="A14933" s="4">
        <v>14928</v>
      </c>
      <c r="B14933" s="3" t="str">
        <f>"201502001532"</f>
        <v>201502001532</v>
      </c>
    </row>
    <row r="14934" spans="1:2" x14ac:dyDescent="0.25">
      <c r="A14934" s="4">
        <v>14929</v>
      </c>
      <c r="B14934" s="3" t="str">
        <f>"201502001570"</f>
        <v>201502001570</v>
      </c>
    </row>
    <row r="14935" spans="1:2" x14ac:dyDescent="0.25">
      <c r="A14935" s="4">
        <v>14930</v>
      </c>
      <c r="B14935" s="3" t="str">
        <f>"201502001571"</f>
        <v>201502001571</v>
      </c>
    </row>
    <row r="14936" spans="1:2" x14ac:dyDescent="0.25">
      <c r="A14936" s="4">
        <v>14931</v>
      </c>
      <c r="B14936" s="3" t="str">
        <f>"201502001599"</f>
        <v>201502001599</v>
      </c>
    </row>
    <row r="14937" spans="1:2" x14ac:dyDescent="0.25">
      <c r="A14937" s="4">
        <v>14932</v>
      </c>
      <c r="B14937" s="3" t="str">
        <f>"201502001610"</f>
        <v>201502001610</v>
      </c>
    </row>
    <row r="14938" spans="1:2" x14ac:dyDescent="0.25">
      <c r="A14938" s="4">
        <v>14933</v>
      </c>
      <c r="B14938" s="3" t="str">
        <f>"201502001660"</f>
        <v>201502001660</v>
      </c>
    </row>
    <row r="14939" spans="1:2" x14ac:dyDescent="0.25">
      <c r="A14939" s="4">
        <v>14934</v>
      </c>
      <c r="B14939" s="3" t="str">
        <f>"201502001684"</f>
        <v>201502001684</v>
      </c>
    </row>
    <row r="14940" spans="1:2" x14ac:dyDescent="0.25">
      <c r="A14940" s="4">
        <v>14935</v>
      </c>
      <c r="B14940" s="3" t="str">
        <f>"201502001700"</f>
        <v>201502001700</v>
      </c>
    </row>
    <row r="14941" spans="1:2" x14ac:dyDescent="0.25">
      <c r="A14941" s="4">
        <v>14936</v>
      </c>
      <c r="B14941" s="3" t="str">
        <f>"201502001715"</f>
        <v>201502001715</v>
      </c>
    </row>
    <row r="14942" spans="1:2" x14ac:dyDescent="0.25">
      <c r="A14942" s="4">
        <v>14937</v>
      </c>
      <c r="B14942" s="3" t="str">
        <f>"201502001739"</f>
        <v>201502001739</v>
      </c>
    </row>
    <row r="14943" spans="1:2" x14ac:dyDescent="0.25">
      <c r="A14943" s="4">
        <v>14938</v>
      </c>
      <c r="B14943" s="3" t="str">
        <f>"201502001807"</f>
        <v>201502001807</v>
      </c>
    </row>
    <row r="14944" spans="1:2" x14ac:dyDescent="0.25">
      <c r="A14944" s="4">
        <v>14939</v>
      </c>
      <c r="B14944" s="3" t="str">
        <f>"201502001836"</f>
        <v>201502001836</v>
      </c>
    </row>
    <row r="14945" spans="1:2" x14ac:dyDescent="0.25">
      <c r="A14945" s="4">
        <v>14940</v>
      </c>
      <c r="B14945" s="3" t="str">
        <f>"201502002018"</f>
        <v>201502002018</v>
      </c>
    </row>
    <row r="14946" spans="1:2" x14ac:dyDescent="0.25">
      <c r="A14946" s="4">
        <v>14941</v>
      </c>
      <c r="B14946" s="3" t="str">
        <f>"201502002031"</f>
        <v>201502002031</v>
      </c>
    </row>
    <row r="14947" spans="1:2" x14ac:dyDescent="0.25">
      <c r="A14947" s="4">
        <v>14942</v>
      </c>
      <c r="B14947" s="3" t="str">
        <f>"201502002170"</f>
        <v>201502002170</v>
      </c>
    </row>
    <row r="14948" spans="1:2" x14ac:dyDescent="0.25">
      <c r="A14948" s="4">
        <v>14943</v>
      </c>
      <c r="B14948" s="3" t="str">
        <f>"201502002185"</f>
        <v>201502002185</v>
      </c>
    </row>
    <row r="14949" spans="1:2" x14ac:dyDescent="0.25">
      <c r="A14949" s="4">
        <v>14944</v>
      </c>
      <c r="B14949" s="3" t="str">
        <f>"201502002292"</f>
        <v>201502002292</v>
      </c>
    </row>
    <row r="14950" spans="1:2" x14ac:dyDescent="0.25">
      <c r="A14950" s="4">
        <v>14945</v>
      </c>
      <c r="B14950" s="3" t="str">
        <f>"201502002327"</f>
        <v>201502002327</v>
      </c>
    </row>
    <row r="14951" spans="1:2" x14ac:dyDescent="0.25">
      <c r="A14951" s="4">
        <v>14946</v>
      </c>
      <c r="B14951" s="3" t="str">
        <f>"201502002408"</f>
        <v>201502002408</v>
      </c>
    </row>
    <row r="14952" spans="1:2" x14ac:dyDescent="0.25">
      <c r="A14952" s="4">
        <v>14947</v>
      </c>
      <c r="B14952" s="3" t="str">
        <f>"201502002434"</f>
        <v>201502002434</v>
      </c>
    </row>
    <row r="14953" spans="1:2" x14ac:dyDescent="0.25">
      <c r="A14953" s="4">
        <v>14948</v>
      </c>
      <c r="B14953" s="3" t="str">
        <f>"201502002517"</f>
        <v>201502002517</v>
      </c>
    </row>
    <row r="14954" spans="1:2" x14ac:dyDescent="0.25">
      <c r="A14954" s="4">
        <v>14949</v>
      </c>
      <c r="B14954" s="3" t="str">
        <f>"201502002541"</f>
        <v>201502002541</v>
      </c>
    </row>
    <row r="14955" spans="1:2" x14ac:dyDescent="0.25">
      <c r="A14955" s="4">
        <v>14950</v>
      </c>
      <c r="B14955" s="3" t="str">
        <f>"201502002575"</f>
        <v>201502002575</v>
      </c>
    </row>
    <row r="14956" spans="1:2" x14ac:dyDescent="0.25">
      <c r="A14956" s="4">
        <v>14951</v>
      </c>
      <c r="B14956" s="3" t="str">
        <f>"201502002692"</f>
        <v>201502002692</v>
      </c>
    </row>
    <row r="14957" spans="1:2" x14ac:dyDescent="0.25">
      <c r="A14957" s="4">
        <v>14952</v>
      </c>
      <c r="B14957" s="3" t="str">
        <f>"201502002714"</f>
        <v>201502002714</v>
      </c>
    </row>
    <row r="14958" spans="1:2" x14ac:dyDescent="0.25">
      <c r="A14958" s="4">
        <v>14953</v>
      </c>
      <c r="B14958" s="3" t="str">
        <f>"201502002779"</f>
        <v>201502002779</v>
      </c>
    </row>
    <row r="14959" spans="1:2" x14ac:dyDescent="0.25">
      <c r="A14959" s="4">
        <v>14954</v>
      </c>
      <c r="B14959" s="3" t="str">
        <f>"201502002790"</f>
        <v>201502002790</v>
      </c>
    </row>
    <row r="14960" spans="1:2" x14ac:dyDescent="0.25">
      <c r="A14960" s="4">
        <v>14955</v>
      </c>
      <c r="B14960" s="3" t="str">
        <f>"201502002926"</f>
        <v>201502002926</v>
      </c>
    </row>
    <row r="14961" spans="1:2" x14ac:dyDescent="0.25">
      <c r="A14961" s="4">
        <v>14956</v>
      </c>
      <c r="B14961" s="3" t="str">
        <f>"201502002998"</f>
        <v>201502002998</v>
      </c>
    </row>
    <row r="14962" spans="1:2" x14ac:dyDescent="0.25">
      <c r="A14962" s="4">
        <v>14957</v>
      </c>
      <c r="B14962" s="3" t="str">
        <f>"201502003051"</f>
        <v>201502003051</v>
      </c>
    </row>
    <row r="14963" spans="1:2" x14ac:dyDescent="0.25">
      <c r="A14963" s="4">
        <v>14958</v>
      </c>
      <c r="B14963" s="3" t="str">
        <f>"201502003067"</f>
        <v>201502003067</v>
      </c>
    </row>
    <row r="14964" spans="1:2" x14ac:dyDescent="0.25">
      <c r="A14964" s="4">
        <v>14959</v>
      </c>
      <c r="B14964" s="3" t="str">
        <f>"201502003107"</f>
        <v>201502003107</v>
      </c>
    </row>
    <row r="14965" spans="1:2" x14ac:dyDescent="0.25">
      <c r="A14965" s="4">
        <v>14960</v>
      </c>
      <c r="B14965" s="3" t="str">
        <f>"201502003255"</f>
        <v>201502003255</v>
      </c>
    </row>
    <row r="14966" spans="1:2" x14ac:dyDescent="0.25">
      <c r="A14966" s="4">
        <v>14961</v>
      </c>
      <c r="B14966" s="3" t="str">
        <f>"201502003273"</f>
        <v>201502003273</v>
      </c>
    </row>
    <row r="14967" spans="1:2" x14ac:dyDescent="0.25">
      <c r="A14967" s="4">
        <v>14962</v>
      </c>
      <c r="B14967" s="3" t="str">
        <f>"201502003286"</f>
        <v>201502003286</v>
      </c>
    </row>
    <row r="14968" spans="1:2" x14ac:dyDescent="0.25">
      <c r="A14968" s="4">
        <v>14963</v>
      </c>
      <c r="B14968" s="3" t="str">
        <f>"201502003324"</f>
        <v>201502003324</v>
      </c>
    </row>
    <row r="14969" spans="1:2" x14ac:dyDescent="0.25">
      <c r="A14969" s="4">
        <v>14964</v>
      </c>
      <c r="B14969" s="3" t="str">
        <f>"201502003477"</f>
        <v>201502003477</v>
      </c>
    </row>
    <row r="14970" spans="1:2" x14ac:dyDescent="0.25">
      <c r="A14970" s="4">
        <v>14965</v>
      </c>
      <c r="B14970" s="3" t="str">
        <f>"201502003735"</f>
        <v>201502003735</v>
      </c>
    </row>
    <row r="14971" spans="1:2" x14ac:dyDescent="0.25">
      <c r="A14971" s="4">
        <v>14966</v>
      </c>
      <c r="B14971" s="3" t="str">
        <f>"201502003780"</f>
        <v>201502003780</v>
      </c>
    </row>
    <row r="14972" spans="1:2" x14ac:dyDescent="0.25">
      <c r="A14972" s="4">
        <v>14967</v>
      </c>
      <c r="B14972" s="3" t="str">
        <f>"201502003832"</f>
        <v>201502003832</v>
      </c>
    </row>
    <row r="14973" spans="1:2" x14ac:dyDescent="0.25">
      <c r="A14973" s="4">
        <v>14968</v>
      </c>
      <c r="B14973" s="3" t="str">
        <f>"201502003846"</f>
        <v>201502003846</v>
      </c>
    </row>
    <row r="14974" spans="1:2" x14ac:dyDescent="0.25">
      <c r="A14974" s="4">
        <v>14969</v>
      </c>
      <c r="B14974" s="3" t="str">
        <f>"201502003857"</f>
        <v>201502003857</v>
      </c>
    </row>
    <row r="14975" spans="1:2" x14ac:dyDescent="0.25">
      <c r="A14975" s="4">
        <v>14970</v>
      </c>
      <c r="B14975" s="3" t="str">
        <f>"201502003907"</f>
        <v>201502003907</v>
      </c>
    </row>
    <row r="14976" spans="1:2" x14ac:dyDescent="0.25">
      <c r="A14976" s="4">
        <v>14971</v>
      </c>
      <c r="B14976" s="3" t="str">
        <f>"201502003987"</f>
        <v>201502003987</v>
      </c>
    </row>
    <row r="14977" spans="1:2" x14ac:dyDescent="0.25">
      <c r="A14977" s="4">
        <v>14972</v>
      </c>
      <c r="B14977" s="3" t="str">
        <f>"201502003995"</f>
        <v>201502003995</v>
      </c>
    </row>
    <row r="14978" spans="1:2" x14ac:dyDescent="0.25">
      <c r="A14978" s="4">
        <v>14973</v>
      </c>
      <c r="B14978" s="3" t="str">
        <f>"201502004010"</f>
        <v>201502004010</v>
      </c>
    </row>
    <row r="14979" spans="1:2" x14ac:dyDescent="0.25">
      <c r="A14979" s="4">
        <v>14974</v>
      </c>
      <c r="B14979" s="3" t="str">
        <f>"201502004012"</f>
        <v>201502004012</v>
      </c>
    </row>
    <row r="14980" spans="1:2" x14ac:dyDescent="0.25">
      <c r="A14980" s="4">
        <v>14975</v>
      </c>
      <c r="B14980" s="3" t="str">
        <f>"201502004040"</f>
        <v>201502004040</v>
      </c>
    </row>
    <row r="14981" spans="1:2" x14ac:dyDescent="0.25">
      <c r="A14981" s="4">
        <v>14976</v>
      </c>
      <c r="B14981" s="3" t="str">
        <f>"201502004045"</f>
        <v>201502004045</v>
      </c>
    </row>
    <row r="14982" spans="1:2" x14ac:dyDescent="0.25">
      <c r="A14982" s="4">
        <v>14977</v>
      </c>
      <c r="B14982" s="3" t="str">
        <f>"201502004055"</f>
        <v>201502004055</v>
      </c>
    </row>
    <row r="14983" spans="1:2" x14ac:dyDescent="0.25">
      <c r="A14983" s="4">
        <v>14978</v>
      </c>
      <c r="B14983" s="3" t="str">
        <f>"201502004065"</f>
        <v>201502004065</v>
      </c>
    </row>
    <row r="14984" spans="1:2" x14ac:dyDescent="0.25">
      <c r="A14984" s="4">
        <v>14979</v>
      </c>
      <c r="B14984" s="3" t="str">
        <f>"201502004091"</f>
        <v>201502004091</v>
      </c>
    </row>
    <row r="14985" spans="1:2" x14ac:dyDescent="0.25">
      <c r="A14985" s="4">
        <v>14980</v>
      </c>
      <c r="B14985" s="3" t="str">
        <f>"201502004117"</f>
        <v>201502004117</v>
      </c>
    </row>
    <row r="14986" spans="1:2" x14ac:dyDescent="0.25">
      <c r="A14986" s="4">
        <v>14981</v>
      </c>
      <c r="B14986" s="3" t="str">
        <f>"201502004187"</f>
        <v>201502004187</v>
      </c>
    </row>
    <row r="14987" spans="1:2" x14ac:dyDescent="0.25">
      <c r="A14987" s="4">
        <v>14982</v>
      </c>
      <c r="B14987" s="3" t="str">
        <f>"201502004211"</f>
        <v>201502004211</v>
      </c>
    </row>
    <row r="14988" spans="1:2" x14ac:dyDescent="0.25">
      <c r="A14988" s="4">
        <v>14983</v>
      </c>
      <c r="B14988" s="3" t="str">
        <f>"201503000003"</f>
        <v>201503000003</v>
      </c>
    </row>
    <row r="14989" spans="1:2" x14ac:dyDescent="0.25">
      <c r="A14989" s="4">
        <v>14984</v>
      </c>
      <c r="B14989" s="3" t="str">
        <f>"201503000060"</f>
        <v>201503000060</v>
      </c>
    </row>
    <row r="14990" spans="1:2" x14ac:dyDescent="0.25">
      <c r="A14990" s="4">
        <v>14985</v>
      </c>
      <c r="B14990" s="3" t="str">
        <f>"201503000114"</f>
        <v>201503000114</v>
      </c>
    </row>
    <row r="14991" spans="1:2" x14ac:dyDescent="0.25">
      <c r="A14991" s="4">
        <v>14986</v>
      </c>
      <c r="B14991" s="3" t="str">
        <f>"201503000199"</f>
        <v>201503000199</v>
      </c>
    </row>
    <row r="14992" spans="1:2" x14ac:dyDescent="0.25">
      <c r="A14992" s="4">
        <v>14987</v>
      </c>
      <c r="B14992" s="3" t="str">
        <f>"201503000214"</f>
        <v>201503000214</v>
      </c>
    </row>
    <row r="14993" spans="1:2" x14ac:dyDescent="0.25">
      <c r="A14993" s="4">
        <v>14988</v>
      </c>
      <c r="B14993" s="3" t="str">
        <f>"201503000240"</f>
        <v>201503000240</v>
      </c>
    </row>
    <row r="14994" spans="1:2" x14ac:dyDescent="0.25">
      <c r="A14994" s="4">
        <v>14989</v>
      </c>
      <c r="B14994" s="3" t="str">
        <f>"201503000501"</f>
        <v>201503000501</v>
      </c>
    </row>
    <row r="14995" spans="1:2" x14ac:dyDescent="0.25">
      <c r="A14995" s="4">
        <v>14990</v>
      </c>
      <c r="B14995" s="3" t="str">
        <f>"201503000513"</f>
        <v>201503000513</v>
      </c>
    </row>
    <row r="14996" spans="1:2" x14ac:dyDescent="0.25">
      <c r="A14996" s="4">
        <v>14991</v>
      </c>
      <c r="B14996" s="3" t="str">
        <f>"201504000044"</f>
        <v>201504000044</v>
      </c>
    </row>
    <row r="14997" spans="1:2" x14ac:dyDescent="0.25">
      <c r="A14997" s="4">
        <v>14992</v>
      </c>
      <c r="B14997" s="3" t="str">
        <f>"201504000083"</f>
        <v>201504000083</v>
      </c>
    </row>
    <row r="14998" spans="1:2" x14ac:dyDescent="0.25">
      <c r="A14998" s="4">
        <v>14993</v>
      </c>
      <c r="B14998" s="3" t="str">
        <f>"201504000116"</f>
        <v>201504000116</v>
      </c>
    </row>
    <row r="14999" spans="1:2" x14ac:dyDescent="0.25">
      <c r="A14999" s="4">
        <v>14994</v>
      </c>
      <c r="B14999" s="3" t="str">
        <f>"201504000167"</f>
        <v>201504000167</v>
      </c>
    </row>
    <row r="15000" spans="1:2" x14ac:dyDescent="0.25">
      <c r="A15000" s="4">
        <v>14995</v>
      </c>
      <c r="B15000" s="3" t="str">
        <f>"201504000207"</f>
        <v>201504000207</v>
      </c>
    </row>
    <row r="15001" spans="1:2" x14ac:dyDescent="0.25">
      <c r="A15001" s="4">
        <v>14996</v>
      </c>
      <c r="B15001" s="3" t="str">
        <f>"201504000651"</f>
        <v>201504000651</v>
      </c>
    </row>
    <row r="15002" spans="1:2" x14ac:dyDescent="0.25">
      <c r="A15002" s="4">
        <v>14997</v>
      </c>
      <c r="B15002" s="3" t="str">
        <f>"201504000989"</f>
        <v>201504000989</v>
      </c>
    </row>
    <row r="15003" spans="1:2" x14ac:dyDescent="0.25">
      <c r="A15003" s="4">
        <v>14998</v>
      </c>
      <c r="B15003" s="3" t="str">
        <f>"201504001250"</f>
        <v>201504001250</v>
      </c>
    </row>
    <row r="15004" spans="1:2" x14ac:dyDescent="0.25">
      <c r="A15004" s="4">
        <v>14999</v>
      </c>
      <c r="B15004" s="3" t="str">
        <f>"201504001330"</f>
        <v>201504001330</v>
      </c>
    </row>
    <row r="15005" spans="1:2" x14ac:dyDescent="0.25">
      <c r="A15005" s="4">
        <v>15000</v>
      </c>
      <c r="B15005" s="3" t="str">
        <f>"201504001387"</f>
        <v>201504001387</v>
      </c>
    </row>
    <row r="15006" spans="1:2" x14ac:dyDescent="0.25">
      <c r="A15006" s="4">
        <v>15001</v>
      </c>
      <c r="B15006" s="3" t="str">
        <f>"201504001471"</f>
        <v>201504001471</v>
      </c>
    </row>
    <row r="15007" spans="1:2" x14ac:dyDescent="0.25">
      <c r="A15007" s="4">
        <v>15002</v>
      </c>
      <c r="B15007" s="3" t="str">
        <f>"201504001764"</f>
        <v>201504001764</v>
      </c>
    </row>
    <row r="15008" spans="1:2" x14ac:dyDescent="0.25">
      <c r="A15008" s="4">
        <v>15003</v>
      </c>
      <c r="B15008" s="3" t="str">
        <f>"201504002763"</f>
        <v>201504002763</v>
      </c>
    </row>
    <row r="15009" spans="1:2" x14ac:dyDescent="0.25">
      <c r="A15009" s="4">
        <v>15004</v>
      </c>
      <c r="B15009" s="3" t="str">
        <f>"201504002818"</f>
        <v>201504002818</v>
      </c>
    </row>
    <row r="15010" spans="1:2" x14ac:dyDescent="0.25">
      <c r="A15010" s="4">
        <v>15005</v>
      </c>
      <c r="B15010" s="3" t="str">
        <f>"201504002836"</f>
        <v>201504002836</v>
      </c>
    </row>
    <row r="15011" spans="1:2" x14ac:dyDescent="0.25">
      <c r="A15011" s="4">
        <v>15006</v>
      </c>
      <c r="B15011" s="3" t="str">
        <f>"201504003035"</f>
        <v>201504003035</v>
      </c>
    </row>
    <row r="15012" spans="1:2" x14ac:dyDescent="0.25">
      <c r="A15012" s="4">
        <v>15007</v>
      </c>
      <c r="B15012" s="3" t="str">
        <f>"201504003619"</f>
        <v>201504003619</v>
      </c>
    </row>
    <row r="15013" spans="1:2" x14ac:dyDescent="0.25">
      <c r="A15013" s="4">
        <v>15008</v>
      </c>
      <c r="B15013" s="3" t="str">
        <f>"201504005087"</f>
        <v>201504005087</v>
      </c>
    </row>
    <row r="15014" spans="1:2" x14ac:dyDescent="0.25">
      <c r="A15014" s="4">
        <v>15009</v>
      </c>
      <c r="B15014" s="3" t="str">
        <f>"201504005254"</f>
        <v>201504005254</v>
      </c>
    </row>
    <row r="15015" spans="1:2" x14ac:dyDescent="0.25">
      <c r="A15015" s="4">
        <v>15010</v>
      </c>
      <c r="B15015" s="3" t="str">
        <f>"201505000037"</f>
        <v>201505000037</v>
      </c>
    </row>
    <row r="15016" spans="1:2" x14ac:dyDescent="0.25">
      <c r="A15016" s="4">
        <v>15011</v>
      </c>
      <c r="B15016" s="3" t="str">
        <f>"201505000305"</f>
        <v>201505000305</v>
      </c>
    </row>
    <row r="15017" spans="1:2" x14ac:dyDescent="0.25">
      <c r="A15017" s="4">
        <v>15012</v>
      </c>
      <c r="B15017" s="3" t="str">
        <f>"201505000378"</f>
        <v>201505000378</v>
      </c>
    </row>
    <row r="15018" spans="1:2" x14ac:dyDescent="0.25">
      <c r="A15018" s="4">
        <v>15013</v>
      </c>
      <c r="B15018" s="3" t="str">
        <f>"201505000453"</f>
        <v>201505000453</v>
      </c>
    </row>
    <row r="15019" spans="1:2" x14ac:dyDescent="0.25">
      <c r="A15019" s="4">
        <v>15014</v>
      </c>
      <c r="B15019" s="3" t="str">
        <f>"201505000469"</f>
        <v>201505000469</v>
      </c>
    </row>
    <row r="15020" spans="1:2" x14ac:dyDescent="0.25">
      <c r="A15020" s="4">
        <v>15015</v>
      </c>
      <c r="B15020" s="3" t="str">
        <f>"201505000502"</f>
        <v>201505000502</v>
      </c>
    </row>
    <row r="15021" spans="1:2" x14ac:dyDescent="0.25">
      <c r="A15021" s="4">
        <v>15016</v>
      </c>
      <c r="B15021" s="3" t="str">
        <f>"201505000509"</f>
        <v>201505000509</v>
      </c>
    </row>
    <row r="15022" spans="1:2" x14ac:dyDescent="0.25">
      <c r="A15022" s="4">
        <v>15017</v>
      </c>
      <c r="B15022" s="3" t="str">
        <f>"201506000013"</f>
        <v>201506000013</v>
      </c>
    </row>
    <row r="15023" spans="1:2" x14ac:dyDescent="0.25">
      <c r="A15023" s="4">
        <v>15018</v>
      </c>
      <c r="B15023" s="3" t="str">
        <f>"201506000716"</f>
        <v>201506000716</v>
      </c>
    </row>
    <row r="15024" spans="1:2" x14ac:dyDescent="0.25">
      <c r="A15024" s="4">
        <v>15019</v>
      </c>
      <c r="B15024" s="3" t="str">
        <f>"201506001069"</f>
        <v>201506001069</v>
      </c>
    </row>
    <row r="15025" spans="1:2" x14ac:dyDescent="0.25">
      <c r="A15025" s="4">
        <v>15020</v>
      </c>
      <c r="B15025" s="3" t="str">
        <f>"201506001145"</f>
        <v>201506001145</v>
      </c>
    </row>
    <row r="15026" spans="1:2" x14ac:dyDescent="0.25">
      <c r="A15026" s="4">
        <v>15021</v>
      </c>
      <c r="B15026" s="3" t="str">
        <f>"201506001542"</f>
        <v>201506001542</v>
      </c>
    </row>
    <row r="15027" spans="1:2" x14ac:dyDescent="0.25">
      <c r="A15027" s="4">
        <v>15022</v>
      </c>
      <c r="B15027" s="3" t="str">
        <f>"201506001929"</f>
        <v>201506001929</v>
      </c>
    </row>
    <row r="15028" spans="1:2" x14ac:dyDescent="0.25">
      <c r="A15028" s="4">
        <v>15023</v>
      </c>
      <c r="B15028" s="3" t="str">
        <f>"201506002274"</f>
        <v>201506002274</v>
      </c>
    </row>
    <row r="15029" spans="1:2" x14ac:dyDescent="0.25">
      <c r="A15029" s="4">
        <v>15024</v>
      </c>
      <c r="B15029" s="3" t="str">
        <f>"201506002362"</f>
        <v>201506002362</v>
      </c>
    </row>
    <row r="15030" spans="1:2" x14ac:dyDescent="0.25">
      <c r="A15030" s="4">
        <v>15025</v>
      </c>
      <c r="B15030" s="3" t="str">
        <f>"201506002494"</f>
        <v>201506002494</v>
      </c>
    </row>
    <row r="15031" spans="1:2" x14ac:dyDescent="0.25">
      <c r="A15031" s="4">
        <v>15026</v>
      </c>
      <c r="B15031" s="3" t="str">
        <f>"201506002497"</f>
        <v>201506002497</v>
      </c>
    </row>
    <row r="15032" spans="1:2" x14ac:dyDescent="0.25">
      <c r="A15032" s="4">
        <v>15027</v>
      </c>
      <c r="B15032" s="3" t="str">
        <f>"201506002608"</f>
        <v>201506002608</v>
      </c>
    </row>
    <row r="15033" spans="1:2" x14ac:dyDescent="0.25">
      <c r="A15033" s="4">
        <v>15028</v>
      </c>
      <c r="B15033" s="3" t="str">
        <f>"201506002678"</f>
        <v>201506002678</v>
      </c>
    </row>
    <row r="15034" spans="1:2" x14ac:dyDescent="0.25">
      <c r="A15034" s="4">
        <v>15029</v>
      </c>
      <c r="B15034" s="3" t="str">
        <f>"201506002885"</f>
        <v>201506002885</v>
      </c>
    </row>
    <row r="15035" spans="1:2" x14ac:dyDescent="0.25">
      <c r="A15035" s="4">
        <v>15030</v>
      </c>
      <c r="B15035" s="3" t="str">
        <f>"201506003173"</f>
        <v>201506003173</v>
      </c>
    </row>
    <row r="15036" spans="1:2" x14ac:dyDescent="0.25">
      <c r="A15036" s="4">
        <v>15031</v>
      </c>
      <c r="B15036" s="3" t="str">
        <f>"201506003615"</f>
        <v>201506003615</v>
      </c>
    </row>
    <row r="15037" spans="1:2" x14ac:dyDescent="0.25">
      <c r="A15037" s="4">
        <v>15032</v>
      </c>
      <c r="B15037" s="3" t="str">
        <f>"201506003852"</f>
        <v>201506003852</v>
      </c>
    </row>
    <row r="15038" spans="1:2" x14ac:dyDescent="0.25">
      <c r="A15038" s="4">
        <v>15033</v>
      </c>
      <c r="B15038" s="3" t="str">
        <f>"201506004075"</f>
        <v>201506004075</v>
      </c>
    </row>
    <row r="15039" spans="1:2" x14ac:dyDescent="0.25">
      <c r="A15039" s="4">
        <v>15034</v>
      </c>
      <c r="B15039" s="3" t="str">
        <f>"201506004151"</f>
        <v>201506004151</v>
      </c>
    </row>
    <row r="15040" spans="1:2" x14ac:dyDescent="0.25">
      <c r="A15040" s="4">
        <v>15035</v>
      </c>
      <c r="B15040" s="3" t="str">
        <f>"201506004187"</f>
        <v>201506004187</v>
      </c>
    </row>
    <row r="15041" spans="1:2" x14ac:dyDescent="0.25">
      <c r="A15041" s="4">
        <v>15036</v>
      </c>
      <c r="B15041" s="3" t="str">
        <f>"201506004227"</f>
        <v>201506004227</v>
      </c>
    </row>
    <row r="15042" spans="1:2" x14ac:dyDescent="0.25">
      <c r="A15042" s="4">
        <v>15037</v>
      </c>
      <c r="B15042" s="3" t="str">
        <f>"201506004334"</f>
        <v>201506004334</v>
      </c>
    </row>
    <row r="15043" spans="1:2" x14ac:dyDescent="0.25">
      <c r="A15043" s="4">
        <v>15038</v>
      </c>
      <c r="B15043" s="3" t="str">
        <f>"201506004337"</f>
        <v>201506004337</v>
      </c>
    </row>
    <row r="15044" spans="1:2" x14ac:dyDescent="0.25">
      <c r="A15044" s="4">
        <v>15039</v>
      </c>
      <c r="B15044" s="3" t="str">
        <f>"201506004387"</f>
        <v>201506004387</v>
      </c>
    </row>
    <row r="15045" spans="1:2" x14ac:dyDescent="0.25">
      <c r="A15045" s="4">
        <v>15040</v>
      </c>
      <c r="B15045" s="3" t="str">
        <f>"201506004490"</f>
        <v>201506004490</v>
      </c>
    </row>
    <row r="15046" spans="1:2" x14ac:dyDescent="0.25">
      <c r="A15046" s="4">
        <v>15041</v>
      </c>
      <c r="B15046" s="3" t="str">
        <f>"201506004554"</f>
        <v>201506004554</v>
      </c>
    </row>
    <row r="15047" spans="1:2" x14ac:dyDescent="0.25">
      <c r="A15047" s="4">
        <v>15042</v>
      </c>
      <c r="B15047" s="3" t="str">
        <f>"201507000178"</f>
        <v>201507000178</v>
      </c>
    </row>
    <row r="15048" spans="1:2" x14ac:dyDescent="0.25">
      <c r="A15048" s="4">
        <v>15043</v>
      </c>
      <c r="B15048" s="3" t="str">
        <f>"201507000445"</f>
        <v>201507000445</v>
      </c>
    </row>
    <row r="15049" spans="1:2" x14ac:dyDescent="0.25">
      <c r="A15049" s="4">
        <v>15044</v>
      </c>
      <c r="B15049" s="3" t="str">
        <f>"201507000502"</f>
        <v>201507000502</v>
      </c>
    </row>
    <row r="15050" spans="1:2" x14ac:dyDescent="0.25">
      <c r="A15050" s="4">
        <v>15045</v>
      </c>
      <c r="B15050" s="3" t="str">
        <f>"201507000531"</f>
        <v>201507000531</v>
      </c>
    </row>
    <row r="15051" spans="1:2" x14ac:dyDescent="0.25">
      <c r="A15051" s="4">
        <v>15046</v>
      </c>
      <c r="B15051" s="3" t="str">
        <f>"201507000626"</f>
        <v>201507000626</v>
      </c>
    </row>
    <row r="15052" spans="1:2" x14ac:dyDescent="0.25">
      <c r="A15052" s="4">
        <v>15047</v>
      </c>
      <c r="B15052" s="3" t="str">
        <f>"201507000655"</f>
        <v>201507000655</v>
      </c>
    </row>
    <row r="15053" spans="1:2" x14ac:dyDescent="0.25">
      <c r="A15053" s="4">
        <v>15048</v>
      </c>
      <c r="B15053" s="3" t="str">
        <f>"201507000677"</f>
        <v>201507000677</v>
      </c>
    </row>
    <row r="15054" spans="1:2" x14ac:dyDescent="0.25">
      <c r="A15054" s="4">
        <v>15049</v>
      </c>
      <c r="B15054" s="3" t="str">
        <f>"201507000934"</f>
        <v>201507000934</v>
      </c>
    </row>
    <row r="15055" spans="1:2" x14ac:dyDescent="0.25">
      <c r="A15055" s="4">
        <v>15050</v>
      </c>
      <c r="B15055" s="3" t="str">
        <f>"201507000975"</f>
        <v>201507000975</v>
      </c>
    </row>
    <row r="15056" spans="1:2" x14ac:dyDescent="0.25">
      <c r="A15056" s="4">
        <v>15051</v>
      </c>
      <c r="B15056" s="3" t="str">
        <f>"201507000983"</f>
        <v>201507000983</v>
      </c>
    </row>
    <row r="15057" spans="1:2" x14ac:dyDescent="0.25">
      <c r="A15057" s="4">
        <v>15052</v>
      </c>
      <c r="B15057" s="3" t="str">
        <f>"201507001155"</f>
        <v>201507001155</v>
      </c>
    </row>
    <row r="15058" spans="1:2" x14ac:dyDescent="0.25">
      <c r="A15058" s="4">
        <v>15053</v>
      </c>
      <c r="B15058" s="3" t="str">
        <f>"201507001219"</f>
        <v>201507001219</v>
      </c>
    </row>
    <row r="15059" spans="1:2" x14ac:dyDescent="0.25">
      <c r="A15059" s="4">
        <v>15054</v>
      </c>
      <c r="B15059" s="3" t="str">
        <f>"201507001420"</f>
        <v>201507001420</v>
      </c>
    </row>
    <row r="15060" spans="1:2" x14ac:dyDescent="0.25">
      <c r="A15060" s="4">
        <v>15055</v>
      </c>
      <c r="B15060" s="3" t="str">
        <f>"201507001527"</f>
        <v>201507001527</v>
      </c>
    </row>
    <row r="15061" spans="1:2" x14ac:dyDescent="0.25">
      <c r="A15061" s="4">
        <v>15056</v>
      </c>
      <c r="B15061" s="3" t="str">
        <f>"201507001570"</f>
        <v>201507001570</v>
      </c>
    </row>
    <row r="15062" spans="1:2" x14ac:dyDescent="0.25">
      <c r="A15062" s="4">
        <v>15057</v>
      </c>
      <c r="B15062" s="3" t="str">
        <f>"201507001626"</f>
        <v>201507001626</v>
      </c>
    </row>
    <row r="15063" spans="1:2" x14ac:dyDescent="0.25">
      <c r="A15063" s="4">
        <v>15058</v>
      </c>
      <c r="B15063" s="3" t="str">
        <f>"201507001710"</f>
        <v>201507001710</v>
      </c>
    </row>
    <row r="15064" spans="1:2" x14ac:dyDescent="0.25">
      <c r="A15064" s="4">
        <v>15059</v>
      </c>
      <c r="B15064" s="3" t="str">
        <f>"201507001756"</f>
        <v>201507001756</v>
      </c>
    </row>
    <row r="15065" spans="1:2" x14ac:dyDescent="0.25">
      <c r="A15065" s="4">
        <v>15060</v>
      </c>
      <c r="B15065" s="3" t="str">
        <f>"201507001799"</f>
        <v>201507001799</v>
      </c>
    </row>
    <row r="15066" spans="1:2" x14ac:dyDescent="0.25">
      <c r="A15066" s="4">
        <v>15061</v>
      </c>
      <c r="B15066" s="3" t="str">
        <f>"201507001922"</f>
        <v>201507001922</v>
      </c>
    </row>
    <row r="15067" spans="1:2" x14ac:dyDescent="0.25">
      <c r="A15067" s="4">
        <v>15062</v>
      </c>
      <c r="B15067" s="3" t="str">
        <f>"201507001990"</f>
        <v>201507001990</v>
      </c>
    </row>
    <row r="15068" spans="1:2" x14ac:dyDescent="0.25">
      <c r="A15068" s="4">
        <v>15063</v>
      </c>
      <c r="B15068" s="3" t="str">
        <f>"201507002109"</f>
        <v>201507002109</v>
      </c>
    </row>
    <row r="15069" spans="1:2" x14ac:dyDescent="0.25">
      <c r="A15069" s="4">
        <v>15064</v>
      </c>
      <c r="B15069" s="3" t="str">
        <f>"201507002160"</f>
        <v>201507002160</v>
      </c>
    </row>
    <row r="15070" spans="1:2" x14ac:dyDescent="0.25">
      <c r="A15070" s="4">
        <v>15065</v>
      </c>
      <c r="B15070" s="3" t="str">
        <f>"201507002290"</f>
        <v>201507002290</v>
      </c>
    </row>
    <row r="15071" spans="1:2" x14ac:dyDescent="0.25">
      <c r="A15071" s="4">
        <v>15066</v>
      </c>
      <c r="B15071" s="3" t="str">
        <f>"201507002324"</f>
        <v>201507002324</v>
      </c>
    </row>
    <row r="15072" spans="1:2" x14ac:dyDescent="0.25">
      <c r="A15072" s="4">
        <v>15067</v>
      </c>
      <c r="B15072" s="3" t="str">
        <f>"201507002343"</f>
        <v>201507002343</v>
      </c>
    </row>
    <row r="15073" spans="1:2" x14ac:dyDescent="0.25">
      <c r="A15073" s="4">
        <v>15068</v>
      </c>
      <c r="B15073" s="3" t="str">
        <f>"201507002556"</f>
        <v>201507002556</v>
      </c>
    </row>
    <row r="15074" spans="1:2" x14ac:dyDescent="0.25">
      <c r="A15074" s="4">
        <v>15069</v>
      </c>
      <c r="B15074" s="3" t="str">
        <f>"201507002592"</f>
        <v>201507002592</v>
      </c>
    </row>
    <row r="15075" spans="1:2" x14ac:dyDescent="0.25">
      <c r="A15075" s="4">
        <v>15070</v>
      </c>
      <c r="B15075" s="3" t="str">
        <f>"201507002627"</f>
        <v>201507002627</v>
      </c>
    </row>
    <row r="15076" spans="1:2" x14ac:dyDescent="0.25">
      <c r="A15076" s="4">
        <v>15071</v>
      </c>
      <c r="B15076" s="3" t="str">
        <f>"201507002633"</f>
        <v>201507002633</v>
      </c>
    </row>
    <row r="15077" spans="1:2" x14ac:dyDescent="0.25">
      <c r="A15077" s="4">
        <v>15072</v>
      </c>
      <c r="B15077" s="3" t="str">
        <f>"201507002835"</f>
        <v>201507002835</v>
      </c>
    </row>
    <row r="15078" spans="1:2" x14ac:dyDescent="0.25">
      <c r="A15078" s="4">
        <v>15073</v>
      </c>
      <c r="B15078" s="3" t="str">
        <f>"201507002871"</f>
        <v>201507002871</v>
      </c>
    </row>
    <row r="15079" spans="1:2" x14ac:dyDescent="0.25">
      <c r="A15079" s="4">
        <v>15074</v>
      </c>
      <c r="B15079" s="3" t="str">
        <f>"201507002907"</f>
        <v>201507002907</v>
      </c>
    </row>
    <row r="15080" spans="1:2" x14ac:dyDescent="0.25">
      <c r="A15080" s="4">
        <v>15075</v>
      </c>
      <c r="B15080" s="3" t="str">
        <f>"201507003025"</f>
        <v>201507003025</v>
      </c>
    </row>
    <row r="15081" spans="1:2" x14ac:dyDescent="0.25">
      <c r="A15081" s="4">
        <v>15076</v>
      </c>
      <c r="B15081" s="3" t="str">
        <f>"201507003040"</f>
        <v>201507003040</v>
      </c>
    </row>
    <row r="15082" spans="1:2" x14ac:dyDescent="0.25">
      <c r="A15082" s="4">
        <v>15077</v>
      </c>
      <c r="B15082" s="3" t="str">
        <f>"201507003081"</f>
        <v>201507003081</v>
      </c>
    </row>
    <row r="15083" spans="1:2" x14ac:dyDescent="0.25">
      <c r="A15083" s="4">
        <v>15078</v>
      </c>
      <c r="B15083" s="3" t="str">
        <f>"201507003125"</f>
        <v>201507003125</v>
      </c>
    </row>
    <row r="15084" spans="1:2" x14ac:dyDescent="0.25">
      <c r="A15084" s="4">
        <v>15079</v>
      </c>
      <c r="B15084" s="3" t="str">
        <f>"201507003262"</f>
        <v>201507003262</v>
      </c>
    </row>
    <row r="15085" spans="1:2" x14ac:dyDescent="0.25">
      <c r="A15085" s="4">
        <v>15080</v>
      </c>
      <c r="B15085" s="3" t="str">
        <f>"201507003557"</f>
        <v>201507003557</v>
      </c>
    </row>
    <row r="15086" spans="1:2" x14ac:dyDescent="0.25">
      <c r="A15086" s="4">
        <v>15081</v>
      </c>
      <c r="B15086" s="3" t="str">
        <f>"201507003671"</f>
        <v>201507003671</v>
      </c>
    </row>
    <row r="15087" spans="1:2" x14ac:dyDescent="0.25">
      <c r="A15087" s="4">
        <v>15082</v>
      </c>
      <c r="B15087" s="3" t="str">
        <f>"201507003845"</f>
        <v>201507003845</v>
      </c>
    </row>
    <row r="15088" spans="1:2" x14ac:dyDescent="0.25">
      <c r="A15088" s="4">
        <v>15083</v>
      </c>
      <c r="B15088" s="3" t="str">
        <f>"201507003943"</f>
        <v>201507003943</v>
      </c>
    </row>
    <row r="15089" spans="1:2" x14ac:dyDescent="0.25">
      <c r="A15089" s="4">
        <v>15084</v>
      </c>
      <c r="B15089" s="3" t="str">
        <f>"201507003957"</f>
        <v>201507003957</v>
      </c>
    </row>
    <row r="15090" spans="1:2" x14ac:dyDescent="0.25">
      <c r="A15090" s="4">
        <v>15085</v>
      </c>
      <c r="B15090" s="3" t="str">
        <f>"201507004108"</f>
        <v>201507004108</v>
      </c>
    </row>
    <row r="15091" spans="1:2" x14ac:dyDescent="0.25">
      <c r="A15091" s="4">
        <v>15086</v>
      </c>
      <c r="B15091" s="3" t="str">
        <f>"201507004197"</f>
        <v>201507004197</v>
      </c>
    </row>
    <row r="15092" spans="1:2" x14ac:dyDescent="0.25">
      <c r="A15092" s="4">
        <v>15087</v>
      </c>
      <c r="B15092" s="3" t="str">
        <f>"201507004206"</f>
        <v>201507004206</v>
      </c>
    </row>
    <row r="15093" spans="1:2" x14ac:dyDescent="0.25">
      <c r="A15093" s="4">
        <v>15088</v>
      </c>
      <c r="B15093" s="3" t="str">
        <f>"201507004209"</f>
        <v>201507004209</v>
      </c>
    </row>
    <row r="15094" spans="1:2" x14ac:dyDescent="0.25">
      <c r="A15094" s="4">
        <v>15089</v>
      </c>
      <c r="B15094" s="3" t="str">
        <f>"201507004242"</f>
        <v>201507004242</v>
      </c>
    </row>
    <row r="15095" spans="1:2" x14ac:dyDescent="0.25">
      <c r="A15095" s="4">
        <v>15090</v>
      </c>
      <c r="B15095" s="3" t="str">
        <f>"201507004304"</f>
        <v>201507004304</v>
      </c>
    </row>
    <row r="15096" spans="1:2" x14ac:dyDescent="0.25">
      <c r="A15096" s="4">
        <v>15091</v>
      </c>
      <c r="B15096" s="3" t="str">
        <f>"201507004370"</f>
        <v>201507004370</v>
      </c>
    </row>
    <row r="15097" spans="1:2" x14ac:dyDescent="0.25">
      <c r="A15097" s="4">
        <v>15092</v>
      </c>
      <c r="B15097" s="3" t="str">
        <f>"201507004380"</f>
        <v>201507004380</v>
      </c>
    </row>
    <row r="15098" spans="1:2" x14ac:dyDescent="0.25">
      <c r="A15098" s="4">
        <v>15093</v>
      </c>
      <c r="B15098" s="3" t="str">
        <f>"201507004472"</f>
        <v>201507004472</v>
      </c>
    </row>
    <row r="15099" spans="1:2" x14ac:dyDescent="0.25">
      <c r="A15099" s="4">
        <v>15094</v>
      </c>
      <c r="B15099" s="3" t="str">
        <f>"201507004595"</f>
        <v>201507004595</v>
      </c>
    </row>
    <row r="15100" spans="1:2" x14ac:dyDescent="0.25">
      <c r="A15100" s="4">
        <v>15095</v>
      </c>
      <c r="B15100" s="3" t="str">
        <f>"201507004630"</f>
        <v>201507004630</v>
      </c>
    </row>
    <row r="15101" spans="1:2" x14ac:dyDescent="0.25">
      <c r="A15101" s="4">
        <v>15096</v>
      </c>
      <c r="B15101" s="3" t="str">
        <f>"201507004736"</f>
        <v>201507004736</v>
      </c>
    </row>
    <row r="15102" spans="1:2" x14ac:dyDescent="0.25">
      <c r="A15102" s="4">
        <v>15097</v>
      </c>
      <c r="B15102" s="3" t="str">
        <f>"201507004789"</f>
        <v>201507004789</v>
      </c>
    </row>
    <row r="15103" spans="1:2" x14ac:dyDescent="0.25">
      <c r="A15103" s="4">
        <v>15098</v>
      </c>
      <c r="B15103" s="3" t="str">
        <f>"201507004897"</f>
        <v>201507004897</v>
      </c>
    </row>
    <row r="15104" spans="1:2" x14ac:dyDescent="0.25">
      <c r="A15104" s="4">
        <v>15099</v>
      </c>
      <c r="B15104" s="3" t="str">
        <f>"201507004952"</f>
        <v>201507004952</v>
      </c>
    </row>
    <row r="15105" spans="1:2" x14ac:dyDescent="0.25">
      <c r="A15105" s="4">
        <v>15100</v>
      </c>
      <c r="B15105" s="3" t="str">
        <f>"201507004955"</f>
        <v>201507004955</v>
      </c>
    </row>
    <row r="15106" spans="1:2" x14ac:dyDescent="0.25">
      <c r="A15106" s="4">
        <v>15101</v>
      </c>
      <c r="B15106" s="3" t="str">
        <f>"201507004968"</f>
        <v>201507004968</v>
      </c>
    </row>
    <row r="15107" spans="1:2" x14ac:dyDescent="0.25">
      <c r="A15107" s="4">
        <v>15102</v>
      </c>
      <c r="B15107" s="3" t="str">
        <f>"201507005045"</f>
        <v>201507005045</v>
      </c>
    </row>
    <row r="15108" spans="1:2" x14ac:dyDescent="0.25">
      <c r="A15108" s="4">
        <v>15103</v>
      </c>
      <c r="B15108" s="3" t="str">
        <f>"201507005088"</f>
        <v>201507005088</v>
      </c>
    </row>
    <row r="15109" spans="1:2" x14ac:dyDescent="0.25">
      <c r="A15109" s="4">
        <v>15104</v>
      </c>
      <c r="B15109" s="3" t="str">
        <f>"201507005179"</f>
        <v>201507005179</v>
      </c>
    </row>
    <row r="15110" spans="1:2" x14ac:dyDescent="0.25">
      <c r="A15110" s="4">
        <v>15105</v>
      </c>
      <c r="B15110" s="3" t="str">
        <f>"201507005217"</f>
        <v>201507005217</v>
      </c>
    </row>
    <row r="15111" spans="1:2" x14ac:dyDescent="0.25">
      <c r="A15111" s="4">
        <v>15106</v>
      </c>
      <c r="B15111" s="3" t="str">
        <f>"201507005254"</f>
        <v>201507005254</v>
      </c>
    </row>
    <row r="15112" spans="1:2" x14ac:dyDescent="0.25">
      <c r="A15112" s="4">
        <v>15107</v>
      </c>
      <c r="B15112" s="3" t="str">
        <f>"201507005265"</f>
        <v>201507005265</v>
      </c>
    </row>
    <row r="15113" spans="1:2" x14ac:dyDescent="0.25">
      <c r="A15113" s="4">
        <v>15108</v>
      </c>
      <c r="B15113" s="3" t="str">
        <f>"201508000022"</f>
        <v>201508000022</v>
      </c>
    </row>
    <row r="15114" spans="1:2" x14ac:dyDescent="0.25">
      <c r="A15114" s="4">
        <v>15109</v>
      </c>
      <c r="B15114" s="3" t="str">
        <f>"201508000055"</f>
        <v>201508000055</v>
      </c>
    </row>
    <row r="15115" spans="1:2" x14ac:dyDescent="0.25">
      <c r="A15115" s="4">
        <v>15110</v>
      </c>
      <c r="B15115" s="3" t="str">
        <f>"201508000116"</f>
        <v>201508000116</v>
      </c>
    </row>
    <row r="15116" spans="1:2" x14ac:dyDescent="0.25">
      <c r="A15116" s="4">
        <v>15111</v>
      </c>
      <c r="B15116" s="3" t="str">
        <f>"201508000121"</f>
        <v>201508000121</v>
      </c>
    </row>
    <row r="15117" spans="1:2" x14ac:dyDescent="0.25">
      <c r="A15117" s="4">
        <v>15112</v>
      </c>
      <c r="B15117" s="3" t="str">
        <f>"201508000249"</f>
        <v>201508000249</v>
      </c>
    </row>
    <row r="15118" spans="1:2" x14ac:dyDescent="0.25">
      <c r="A15118" s="4">
        <v>15113</v>
      </c>
      <c r="B15118" s="3" t="str">
        <f>"201509000042"</f>
        <v>201509000042</v>
      </c>
    </row>
    <row r="15119" spans="1:2" x14ac:dyDescent="0.25">
      <c r="A15119" s="4">
        <v>15114</v>
      </c>
      <c r="B15119" s="3" t="str">
        <f>"201509000168"</f>
        <v>201509000168</v>
      </c>
    </row>
    <row r="15120" spans="1:2" x14ac:dyDescent="0.25">
      <c r="A15120" s="4">
        <v>15115</v>
      </c>
      <c r="B15120" s="3" t="str">
        <f>"201510000067"</f>
        <v>201510000067</v>
      </c>
    </row>
    <row r="15121" spans="1:2" x14ac:dyDescent="0.25">
      <c r="A15121" s="4">
        <v>15116</v>
      </c>
      <c r="B15121" s="3" t="str">
        <f>"201510000102"</f>
        <v>201510000102</v>
      </c>
    </row>
    <row r="15122" spans="1:2" x14ac:dyDescent="0.25">
      <c r="A15122" s="4">
        <v>15117</v>
      </c>
      <c r="B15122" s="3" t="str">
        <f>"201510000135"</f>
        <v>201510000135</v>
      </c>
    </row>
    <row r="15123" spans="1:2" x14ac:dyDescent="0.25">
      <c r="A15123" s="4">
        <v>15118</v>
      </c>
      <c r="B15123" s="3" t="str">
        <f>"201510000154"</f>
        <v>201510000154</v>
      </c>
    </row>
    <row r="15124" spans="1:2" x14ac:dyDescent="0.25">
      <c r="A15124" s="4">
        <v>15119</v>
      </c>
      <c r="B15124" s="3" t="str">
        <f>"201510000162"</f>
        <v>201510000162</v>
      </c>
    </row>
    <row r="15125" spans="1:2" x14ac:dyDescent="0.25">
      <c r="A15125" s="4">
        <v>15120</v>
      </c>
      <c r="B15125" s="3" t="str">
        <f>"201510000172"</f>
        <v>201510000172</v>
      </c>
    </row>
    <row r="15126" spans="1:2" x14ac:dyDescent="0.25">
      <c r="A15126" s="4">
        <v>15121</v>
      </c>
      <c r="B15126" s="3" t="str">
        <f>"201510000185"</f>
        <v>201510000185</v>
      </c>
    </row>
    <row r="15127" spans="1:2" x14ac:dyDescent="0.25">
      <c r="A15127" s="4">
        <v>15122</v>
      </c>
      <c r="B15127" s="3" t="str">
        <f>"201510000186"</f>
        <v>201510000186</v>
      </c>
    </row>
    <row r="15128" spans="1:2" x14ac:dyDescent="0.25">
      <c r="A15128" s="4">
        <v>15123</v>
      </c>
      <c r="B15128" s="3" t="str">
        <f>"201510000228"</f>
        <v>201510000228</v>
      </c>
    </row>
    <row r="15129" spans="1:2" x14ac:dyDescent="0.25">
      <c r="A15129" s="4">
        <v>15124</v>
      </c>
      <c r="B15129" s="3" t="str">
        <f>"201510000234"</f>
        <v>201510000234</v>
      </c>
    </row>
    <row r="15130" spans="1:2" x14ac:dyDescent="0.25">
      <c r="A15130" s="4">
        <v>15125</v>
      </c>
      <c r="B15130" s="3" t="str">
        <f>"201510000235"</f>
        <v>201510000235</v>
      </c>
    </row>
    <row r="15131" spans="1:2" x14ac:dyDescent="0.25">
      <c r="A15131" s="4">
        <v>15126</v>
      </c>
      <c r="B15131" s="3" t="str">
        <f>"201510000240"</f>
        <v>201510000240</v>
      </c>
    </row>
    <row r="15132" spans="1:2" x14ac:dyDescent="0.25">
      <c r="A15132" s="4">
        <v>15127</v>
      </c>
      <c r="B15132" s="3" t="str">
        <f>"201510000241"</f>
        <v>201510000241</v>
      </c>
    </row>
    <row r="15133" spans="1:2" x14ac:dyDescent="0.25">
      <c r="A15133" s="4">
        <v>15128</v>
      </c>
      <c r="B15133" s="3" t="str">
        <f>"201510000290"</f>
        <v>201510000290</v>
      </c>
    </row>
    <row r="15134" spans="1:2" x14ac:dyDescent="0.25">
      <c r="A15134" s="4">
        <v>15129</v>
      </c>
      <c r="B15134" s="3" t="str">
        <f>"201510000318"</f>
        <v>201510000318</v>
      </c>
    </row>
    <row r="15135" spans="1:2" x14ac:dyDescent="0.25">
      <c r="A15135" s="4">
        <v>15130</v>
      </c>
      <c r="B15135" s="3" t="str">
        <f>"201510000359"</f>
        <v>201510000359</v>
      </c>
    </row>
    <row r="15136" spans="1:2" x14ac:dyDescent="0.25">
      <c r="A15136" s="4">
        <v>15131</v>
      </c>
      <c r="B15136" s="3" t="str">
        <f>"201510000391"</f>
        <v>201510000391</v>
      </c>
    </row>
    <row r="15137" spans="1:2" x14ac:dyDescent="0.25">
      <c r="A15137" s="4">
        <v>15132</v>
      </c>
      <c r="B15137" s="3" t="str">
        <f>"201510000419"</f>
        <v>201510000419</v>
      </c>
    </row>
    <row r="15138" spans="1:2" x14ac:dyDescent="0.25">
      <c r="A15138" s="4">
        <v>15133</v>
      </c>
      <c r="B15138" s="3" t="str">
        <f>"201510000424"</f>
        <v>201510000424</v>
      </c>
    </row>
    <row r="15139" spans="1:2" x14ac:dyDescent="0.25">
      <c r="A15139" s="4">
        <v>15134</v>
      </c>
      <c r="B15139" s="3" t="str">
        <f>"201510000435"</f>
        <v>201510000435</v>
      </c>
    </row>
    <row r="15140" spans="1:2" x14ac:dyDescent="0.25">
      <c r="A15140" s="4">
        <v>15135</v>
      </c>
      <c r="B15140" s="3" t="str">
        <f>"201510000441"</f>
        <v>201510000441</v>
      </c>
    </row>
    <row r="15141" spans="1:2" x14ac:dyDescent="0.25">
      <c r="A15141" s="4">
        <v>15136</v>
      </c>
      <c r="B15141" s="3" t="str">
        <f>"201510000442"</f>
        <v>201510000442</v>
      </c>
    </row>
    <row r="15142" spans="1:2" x14ac:dyDescent="0.25">
      <c r="A15142" s="4">
        <v>15137</v>
      </c>
      <c r="B15142" s="3" t="str">
        <f>"201510000446"</f>
        <v>201510000446</v>
      </c>
    </row>
    <row r="15143" spans="1:2" x14ac:dyDescent="0.25">
      <c r="A15143" s="4">
        <v>15138</v>
      </c>
      <c r="B15143" s="3" t="str">
        <f>"201510000457"</f>
        <v>201510000457</v>
      </c>
    </row>
    <row r="15144" spans="1:2" x14ac:dyDescent="0.25">
      <c r="A15144" s="4">
        <v>15139</v>
      </c>
      <c r="B15144" s="3" t="str">
        <f>"201510000467"</f>
        <v>201510000467</v>
      </c>
    </row>
    <row r="15145" spans="1:2" x14ac:dyDescent="0.25">
      <c r="A15145" s="4">
        <v>15140</v>
      </c>
      <c r="B15145" s="3" t="str">
        <f>"201510000468"</f>
        <v>201510000468</v>
      </c>
    </row>
    <row r="15146" spans="1:2" x14ac:dyDescent="0.25">
      <c r="A15146" s="4">
        <v>15141</v>
      </c>
      <c r="B15146" s="3" t="str">
        <f>"201510000475"</f>
        <v>201510000475</v>
      </c>
    </row>
    <row r="15147" spans="1:2" x14ac:dyDescent="0.25">
      <c r="A15147" s="4">
        <v>15142</v>
      </c>
      <c r="B15147" s="3" t="str">
        <f>"201510000484"</f>
        <v>201510000484</v>
      </c>
    </row>
    <row r="15148" spans="1:2" x14ac:dyDescent="0.25">
      <c r="A15148" s="4">
        <v>15143</v>
      </c>
      <c r="B15148" s="3" t="str">
        <f>"201510000521"</f>
        <v>201510000521</v>
      </c>
    </row>
    <row r="15149" spans="1:2" x14ac:dyDescent="0.25">
      <c r="A15149" s="4">
        <v>15144</v>
      </c>
      <c r="B15149" s="3" t="str">
        <f>"201510000593"</f>
        <v>201510000593</v>
      </c>
    </row>
    <row r="15150" spans="1:2" x14ac:dyDescent="0.25">
      <c r="A15150" s="4">
        <v>15145</v>
      </c>
      <c r="B15150" s="3" t="str">
        <f>"201510000634"</f>
        <v>201510000634</v>
      </c>
    </row>
    <row r="15151" spans="1:2" x14ac:dyDescent="0.25">
      <c r="A15151" s="4">
        <v>15146</v>
      </c>
      <c r="B15151" s="3" t="str">
        <f>"201510000671"</f>
        <v>201510000671</v>
      </c>
    </row>
    <row r="15152" spans="1:2" x14ac:dyDescent="0.25">
      <c r="A15152" s="4">
        <v>15147</v>
      </c>
      <c r="B15152" s="3" t="str">
        <f>"201510000675"</f>
        <v>201510000675</v>
      </c>
    </row>
    <row r="15153" spans="1:2" x14ac:dyDescent="0.25">
      <c r="A15153" s="4">
        <v>15148</v>
      </c>
      <c r="B15153" s="3" t="str">
        <f>"201510000677"</f>
        <v>201510000677</v>
      </c>
    </row>
    <row r="15154" spans="1:2" x14ac:dyDescent="0.25">
      <c r="A15154" s="4">
        <v>15149</v>
      </c>
      <c r="B15154" s="3" t="str">
        <f>"201510000680"</f>
        <v>201510000680</v>
      </c>
    </row>
    <row r="15155" spans="1:2" x14ac:dyDescent="0.25">
      <c r="A15155" s="4">
        <v>15150</v>
      </c>
      <c r="B15155" s="3" t="str">
        <f>"201510000706"</f>
        <v>201510000706</v>
      </c>
    </row>
    <row r="15156" spans="1:2" x14ac:dyDescent="0.25">
      <c r="A15156" s="4">
        <v>15151</v>
      </c>
      <c r="B15156" s="3" t="str">
        <f>"201510000714"</f>
        <v>201510000714</v>
      </c>
    </row>
    <row r="15157" spans="1:2" x14ac:dyDescent="0.25">
      <c r="A15157" s="4">
        <v>15152</v>
      </c>
      <c r="B15157" s="3" t="str">
        <f>"201510000718"</f>
        <v>201510000718</v>
      </c>
    </row>
    <row r="15158" spans="1:2" x14ac:dyDescent="0.25">
      <c r="A15158" s="4">
        <v>15153</v>
      </c>
      <c r="B15158" s="3" t="str">
        <f>"201510000725"</f>
        <v>201510000725</v>
      </c>
    </row>
    <row r="15159" spans="1:2" x14ac:dyDescent="0.25">
      <c r="A15159" s="4">
        <v>15154</v>
      </c>
      <c r="B15159" s="3" t="str">
        <f>"201510000749"</f>
        <v>201510000749</v>
      </c>
    </row>
    <row r="15160" spans="1:2" x14ac:dyDescent="0.25">
      <c r="A15160" s="4">
        <v>15155</v>
      </c>
      <c r="B15160" s="3" t="str">
        <f>"201510000765"</f>
        <v>201510000765</v>
      </c>
    </row>
    <row r="15161" spans="1:2" x14ac:dyDescent="0.25">
      <c r="A15161" s="4">
        <v>15156</v>
      </c>
      <c r="B15161" s="3" t="str">
        <f>"201510000773"</f>
        <v>201510000773</v>
      </c>
    </row>
    <row r="15162" spans="1:2" x14ac:dyDescent="0.25">
      <c r="A15162" s="4">
        <v>15157</v>
      </c>
      <c r="B15162" s="3" t="str">
        <f>"201510000783"</f>
        <v>201510000783</v>
      </c>
    </row>
    <row r="15163" spans="1:2" x14ac:dyDescent="0.25">
      <c r="A15163" s="4">
        <v>15158</v>
      </c>
      <c r="B15163" s="3" t="str">
        <f>"201510000806"</f>
        <v>201510000806</v>
      </c>
    </row>
    <row r="15164" spans="1:2" x14ac:dyDescent="0.25">
      <c r="A15164" s="4">
        <v>15159</v>
      </c>
      <c r="B15164" s="3" t="str">
        <f>"201510000826"</f>
        <v>201510000826</v>
      </c>
    </row>
    <row r="15165" spans="1:2" x14ac:dyDescent="0.25">
      <c r="A15165" s="4">
        <v>15160</v>
      </c>
      <c r="B15165" s="3" t="str">
        <f>"201510000877"</f>
        <v>201510000877</v>
      </c>
    </row>
    <row r="15166" spans="1:2" x14ac:dyDescent="0.25">
      <c r="A15166" s="4">
        <v>15161</v>
      </c>
      <c r="B15166" s="3" t="str">
        <f>"201510000886"</f>
        <v>201510000886</v>
      </c>
    </row>
    <row r="15167" spans="1:2" x14ac:dyDescent="0.25">
      <c r="A15167" s="4">
        <v>15162</v>
      </c>
      <c r="B15167" s="3" t="str">
        <f>"201510000892"</f>
        <v>201510000892</v>
      </c>
    </row>
    <row r="15168" spans="1:2" x14ac:dyDescent="0.25">
      <c r="A15168" s="4">
        <v>15163</v>
      </c>
      <c r="B15168" s="3" t="str">
        <f>"201510000968"</f>
        <v>201510000968</v>
      </c>
    </row>
    <row r="15169" spans="1:2" x14ac:dyDescent="0.25">
      <c r="A15169" s="4">
        <v>15164</v>
      </c>
      <c r="B15169" s="3" t="str">
        <f>"201510000982"</f>
        <v>201510000982</v>
      </c>
    </row>
    <row r="15170" spans="1:2" x14ac:dyDescent="0.25">
      <c r="A15170" s="4">
        <v>15165</v>
      </c>
      <c r="B15170" s="3" t="str">
        <f>"201510001004"</f>
        <v>201510001004</v>
      </c>
    </row>
    <row r="15171" spans="1:2" x14ac:dyDescent="0.25">
      <c r="A15171" s="4">
        <v>15166</v>
      </c>
      <c r="B15171" s="3" t="str">
        <f>"201510001031"</f>
        <v>201510001031</v>
      </c>
    </row>
    <row r="15172" spans="1:2" x14ac:dyDescent="0.25">
      <c r="A15172" s="4">
        <v>15167</v>
      </c>
      <c r="B15172" s="3" t="str">
        <f>"201510001033"</f>
        <v>201510001033</v>
      </c>
    </row>
    <row r="15173" spans="1:2" x14ac:dyDescent="0.25">
      <c r="A15173" s="4">
        <v>15168</v>
      </c>
      <c r="B15173" s="3" t="str">
        <f>"201510001045"</f>
        <v>201510001045</v>
      </c>
    </row>
    <row r="15174" spans="1:2" x14ac:dyDescent="0.25">
      <c r="A15174" s="4">
        <v>15169</v>
      </c>
      <c r="B15174" s="3" t="str">
        <f>"201510001057"</f>
        <v>201510001057</v>
      </c>
    </row>
    <row r="15175" spans="1:2" x14ac:dyDescent="0.25">
      <c r="A15175" s="4">
        <v>15170</v>
      </c>
      <c r="B15175" s="3" t="str">
        <f>"201510001063"</f>
        <v>201510001063</v>
      </c>
    </row>
    <row r="15176" spans="1:2" x14ac:dyDescent="0.25">
      <c r="A15176" s="4">
        <v>15171</v>
      </c>
      <c r="B15176" s="3" t="str">
        <f>"201510001081"</f>
        <v>201510001081</v>
      </c>
    </row>
    <row r="15177" spans="1:2" x14ac:dyDescent="0.25">
      <c r="A15177" s="4">
        <v>15172</v>
      </c>
      <c r="B15177" s="3" t="str">
        <f>"201510001094"</f>
        <v>201510001094</v>
      </c>
    </row>
    <row r="15178" spans="1:2" x14ac:dyDescent="0.25">
      <c r="A15178" s="4">
        <v>15173</v>
      </c>
      <c r="B15178" s="3" t="str">
        <f>"201510001101"</f>
        <v>201510001101</v>
      </c>
    </row>
    <row r="15179" spans="1:2" x14ac:dyDescent="0.25">
      <c r="A15179" s="4">
        <v>15174</v>
      </c>
      <c r="B15179" s="3" t="str">
        <f>"201510001128"</f>
        <v>201510001128</v>
      </c>
    </row>
    <row r="15180" spans="1:2" x14ac:dyDescent="0.25">
      <c r="A15180" s="4">
        <v>15175</v>
      </c>
      <c r="B15180" s="3" t="str">
        <f>"201510001132"</f>
        <v>201510001132</v>
      </c>
    </row>
    <row r="15181" spans="1:2" x14ac:dyDescent="0.25">
      <c r="A15181" s="4">
        <v>15176</v>
      </c>
      <c r="B15181" s="3" t="str">
        <f>"201510001138"</f>
        <v>201510001138</v>
      </c>
    </row>
    <row r="15182" spans="1:2" x14ac:dyDescent="0.25">
      <c r="A15182" s="4">
        <v>15177</v>
      </c>
      <c r="B15182" s="3" t="str">
        <f>"201510001198"</f>
        <v>201510001198</v>
      </c>
    </row>
    <row r="15183" spans="1:2" x14ac:dyDescent="0.25">
      <c r="A15183" s="4">
        <v>15178</v>
      </c>
      <c r="B15183" s="3" t="str">
        <f>"201510001224"</f>
        <v>201510001224</v>
      </c>
    </row>
    <row r="15184" spans="1:2" x14ac:dyDescent="0.25">
      <c r="A15184" s="4">
        <v>15179</v>
      </c>
      <c r="B15184" s="3" t="str">
        <f>"201510001228"</f>
        <v>201510001228</v>
      </c>
    </row>
    <row r="15185" spans="1:2" x14ac:dyDescent="0.25">
      <c r="A15185" s="4">
        <v>15180</v>
      </c>
      <c r="B15185" s="3" t="str">
        <f>"201510001244"</f>
        <v>201510001244</v>
      </c>
    </row>
    <row r="15186" spans="1:2" x14ac:dyDescent="0.25">
      <c r="A15186" s="4">
        <v>15181</v>
      </c>
      <c r="B15186" s="3" t="str">
        <f>"201510001255"</f>
        <v>201510001255</v>
      </c>
    </row>
    <row r="15187" spans="1:2" x14ac:dyDescent="0.25">
      <c r="A15187" s="4">
        <v>15182</v>
      </c>
      <c r="B15187" s="3" t="str">
        <f>"201510001259"</f>
        <v>201510001259</v>
      </c>
    </row>
    <row r="15188" spans="1:2" x14ac:dyDescent="0.25">
      <c r="A15188" s="4">
        <v>15183</v>
      </c>
      <c r="B15188" s="3" t="str">
        <f>"201510001333"</f>
        <v>201510001333</v>
      </c>
    </row>
    <row r="15189" spans="1:2" x14ac:dyDescent="0.25">
      <c r="A15189" s="4">
        <v>15184</v>
      </c>
      <c r="B15189" s="3" t="str">
        <f>"201510001365"</f>
        <v>201510001365</v>
      </c>
    </row>
    <row r="15190" spans="1:2" x14ac:dyDescent="0.25">
      <c r="A15190" s="4">
        <v>15185</v>
      </c>
      <c r="B15190" s="3" t="str">
        <f>"201510001401"</f>
        <v>201510001401</v>
      </c>
    </row>
    <row r="15191" spans="1:2" x14ac:dyDescent="0.25">
      <c r="A15191" s="4">
        <v>15186</v>
      </c>
      <c r="B15191" s="3" t="str">
        <f>"201510001486"</f>
        <v>201510001486</v>
      </c>
    </row>
    <row r="15192" spans="1:2" x14ac:dyDescent="0.25">
      <c r="A15192" s="4">
        <v>15187</v>
      </c>
      <c r="B15192" s="3" t="str">
        <f>"201510001496"</f>
        <v>201510001496</v>
      </c>
    </row>
    <row r="15193" spans="1:2" x14ac:dyDescent="0.25">
      <c r="A15193" s="4">
        <v>15188</v>
      </c>
      <c r="B15193" s="3" t="str">
        <f>"201510001513"</f>
        <v>201510001513</v>
      </c>
    </row>
    <row r="15194" spans="1:2" x14ac:dyDescent="0.25">
      <c r="A15194" s="4">
        <v>15189</v>
      </c>
      <c r="B15194" s="3" t="str">
        <f>"201510001530"</f>
        <v>201510001530</v>
      </c>
    </row>
    <row r="15195" spans="1:2" x14ac:dyDescent="0.25">
      <c r="A15195" s="4">
        <v>15190</v>
      </c>
      <c r="B15195" s="3" t="str">
        <f>"201510001563"</f>
        <v>201510001563</v>
      </c>
    </row>
    <row r="15196" spans="1:2" x14ac:dyDescent="0.25">
      <c r="A15196" s="4">
        <v>15191</v>
      </c>
      <c r="B15196" s="3" t="str">
        <f>"201510001585"</f>
        <v>201510001585</v>
      </c>
    </row>
    <row r="15197" spans="1:2" x14ac:dyDescent="0.25">
      <c r="A15197" s="4">
        <v>15192</v>
      </c>
      <c r="B15197" s="3" t="str">
        <f>"201510001624"</f>
        <v>201510001624</v>
      </c>
    </row>
    <row r="15198" spans="1:2" x14ac:dyDescent="0.25">
      <c r="A15198" s="4">
        <v>15193</v>
      </c>
      <c r="B15198" s="3" t="str">
        <f>"201510001668"</f>
        <v>201510001668</v>
      </c>
    </row>
    <row r="15199" spans="1:2" x14ac:dyDescent="0.25">
      <c r="A15199" s="4">
        <v>15194</v>
      </c>
      <c r="B15199" s="3" t="str">
        <f>"201510001791"</f>
        <v>201510001791</v>
      </c>
    </row>
    <row r="15200" spans="1:2" x14ac:dyDescent="0.25">
      <c r="A15200" s="4">
        <v>15195</v>
      </c>
      <c r="B15200" s="3" t="str">
        <f>"201510001805"</f>
        <v>201510001805</v>
      </c>
    </row>
    <row r="15201" spans="1:2" x14ac:dyDescent="0.25">
      <c r="A15201" s="4">
        <v>15196</v>
      </c>
      <c r="B15201" s="3" t="str">
        <f>"201510001810"</f>
        <v>201510001810</v>
      </c>
    </row>
    <row r="15202" spans="1:2" x14ac:dyDescent="0.25">
      <c r="A15202" s="4">
        <v>15197</v>
      </c>
      <c r="B15202" s="3" t="str">
        <f>"201510001849"</f>
        <v>201510001849</v>
      </c>
    </row>
    <row r="15203" spans="1:2" x14ac:dyDescent="0.25">
      <c r="A15203" s="4">
        <v>15198</v>
      </c>
      <c r="B15203" s="3" t="str">
        <f>"201510001870"</f>
        <v>201510001870</v>
      </c>
    </row>
    <row r="15204" spans="1:2" x14ac:dyDescent="0.25">
      <c r="A15204" s="4">
        <v>15199</v>
      </c>
      <c r="B15204" s="3" t="str">
        <f>"201510001883"</f>
        <v>201510001883</v>
      </c>
    </row>
    <row r="15205" spans="1:2" x14ac:dyDescent="0.25">
      <c r="A15205" s="4">
        <v>15200</v>
      </c>
      <c r="B15205" s="3" t="str">
        <f>"201510001909"</f>
        <v>201510001909</v>
      </c>
    </row>
    <row r="15206" spans="1:2" x14ac:dyDescent="0.25">
      <c r="A15206" s="4">
        <v>15201</v>
      </c>
      <c r="B15206" s="3" t="str">
        <f>"201510001910"</f>
        <v>201510001910</v>
      </c>
    </row>
    <row r="15207" spans="1:2" x14ac:dyDescent="0.25">
      <c r="A15207" s="4">
        <v>15202</v>
      </c>
      <c r="B15207" s="3" t="str">
        <f>"201510001914"</f>
        <v>201510001914</v>
      </c>
    </row>
    <row r="15208" spans="1:2" x14ac:dyDescent="0.25">
      <c r="A15208" s="4">
        <v>15203</v>
      </c>
      <c r="B15208" s="3" t="str">
        <f>"201510001920"</f>
        <v>201510001920</v>
      </c>
    </row>
    <row r="15209" spans="1:2" x14ac:dyDescent="0.25">
      <c r="A15209" s="4">
        <v>15204</v>
      </c>
      <c r="B15209" s="3" t="str">
        <f>"201510001953"</f>
        <v>201510001953</v>
      </c>
    </row>
    <row r="15210" spans="1:2" x14ac:dyDescent="0.25">
      <c r="A15210" s="4">
        <v>15205</v>
      </c>
      <c r="B15210" s="3" t="str">
        <f>"201510002017"</f>
        <v>201510002017</v>
      </c>
    </row>
    <row r="15211" spans="1:2" x14ac:dyDescent="0.25">
      <c r="A15211" s="4">
        <v>15206</v>
      </c>
      <c r="B15211" s="3" t="str">
        <f>"201510002045"</f>
        <v>201510002045</v>
      </c>
    </row>
    <row r="15212" spans="1:2" x14ac:dyDescent="0.25">
      <c r="A15212" s="4">
        <v>15207</v>
      </c>
      <c r="B15212" s="3" t="str">
        <f>"201510002055"</f>
        <v>201510002055</v>
      </c>
    </row>
    <row r="15213" spans="1:2" x14ac:dyDescent="0.25">
      <c r="A15213" s="4">
        <v>15208</v>
      </c>
      <c r="B15213" s="3" t="str">
        <f>"201510002077"</f>
        <v>201510002077</v>
      </c>
    </row>
    <row r="15214" spans="1:2" x14ac:dyDescent="0.25">
      <c r="A15214" s="4">
        <v>15209</v>
      </c>
      <c r="B15214" s="3" t="str">
        <f>"201510002079"</f>
        <v>201510002079</v>
      </c>
    </row>
    <row r="15215" spans="1:2" x14ac:dyDescent="0.25">
      <c r="A15215" s="4">
        <v>15210</v>
      </c>
      <c r="B15215" s="3" t="str">
        <f>"201510002084"</f>
        <v>201510002084</v>
      </c>
    </row>
    <row r="15216" spans="1:2" x14ac:dyDescent="0.25">
      <c r="A15216" s="4">
        <v>15211</v>
      </c>
      <c r="B15216" s="3" t="str">
        <f>"201510002106"</f>
        <v>201510002106</v>
      </c>
    </row>
    <row r="15217" spans="1:2" x14ac:dyDescent="0.25">
      <c r="A15217" s="4">
        <v>15212</v>
      </c>
      <c r="B15217" s="3" t="str">
        <f>"201510002128"</f>
        <v>201510002128</v>
      </c>
    </row>
    <row r="15218" spans="1:2" x14ac:dyDescent="0.25">
      <c r="A15218" s="4">
        <v>15213</v>
      </c>
      <c r="B15218" s="3" t="str">
        <f>"201510002148"</f>
        <v>201510002148</v>
      </c>
    </row>
    <row r="15219" spans="1:2" x14ac:dyDescent="0.25">
      <c r="A15219" s="4">
        <v>15214</v>
      </c>
      <c r="B15219" s="3" t="str">
        <f>"201510002187"</f>
        <v>201510002187</v>
      </c>
    </row>
    <row r="15220" spans="1:2" x14ac:dyDescent="0.25">
      <c r="A15220" s="4">
        <v>15215</v>
      </c>
      <c r="B15220" s="3" t="str">
        <f>"201510002262"</f>
        <v>201510002262</v>
      </c>
    </row>
    <row r="15221" spans="1:2" x14ac:dyDescent="0.25">
      <c r="A15221" s="4">
        <v>15216</v>
      </c>
      <c r="B15221" s="3" t="str">
        <f>"201510002269"</f>
        <v>201510002269</v>
      </c>
    </row>
    <row r="15222" spans="1:2" x14ac:dyDescent="0.25">
      <c r="A15222" s="4">
        <v>15217</v>
      </c>
      <c r="B15222" s="3" t="str">
        <f>"201510002272"</f>
        <v>201510002272</v>
      </c>
    </row>
    <row r="15223" spans="1:2" x14ac:dyDescent="0.25">
      <c r="A15223" s="4">
        <v>15218</v>
      </c>
      <c r="B15223" s="3" t="str">
        <f>"201510002351"</f>
        <v>201510002351</v>
      </c>
    </row>
    <row r="15224" spans="1:2" x14ac:dyDescent="0.25">
      <c r="A15224" s="4">
        <v>15219</v>
      </c>
      <c r="B15224" s="3" t="str">
        <f>"201510002373"</f>
        <v>201510002373</v>
      </c>
    </row>
    <row r="15225" spans="1:2" x14ac:dyDescent="0.25">
      <c r="A15225" s="4">
        <v>15220</v>
      </c>
      <c r="B15225" s="3" t="str">
        <f>"201510002385"</f>
        <v>201510002385</v>
      </c>
    </row>
    <row r="15226" spans="1:2" x14ac:dyDescent="0.25">
      <c r="A15226" s="4">
        <v>15221</v>
      </c>
      <c r="B15226" s="3" t="str">
        <f>"201510002406"</f>
        <v>201510002406</v>
      </c>
    </row>
    <row r="15227" spans="1:2" x14ac:dyDescent="0.25">
      <c r="A15227" s="4">
        <v>15222</v>
      </c>
      <c r="B15227" s="3" t="str">
        <f>"201510002443"</f>
        <v>201510002443</v>
      </c>
    </row>
    <row r="15228" spans="1:2" x14ac:dyDescent="0.25">
      <c r="A15228" s="4">
        <v>15223</v>
      </c>
      <c r="B15228" s="3" t="str">
        <f>"201510002457"</f>
        <v>201510002457</v>
      </c>
    </row>
    <row r="15229" spans="1:2" x14ac:dyDescent="0.25">
      <c r="A15229" s="4">
        <v>15224</v>
      </c>
      <c r="B15229" s="3" t="str">
        <f>"201510002513"</f>
        <v>201510002513</v>
      </c>
    </row>
    <row r="15230" spans="1:2" x14ac:dyDescent="0.25">
      <c r="A15230" s="4">
        <v>15225</v>
      </c>
      <c r="B15230" s="3" t="str">
        <f>"201510002526"</f>
        <v>201510002526</v>
      </c>
    </row>
    <row r="15231" spans="1:2" x14ac:dyDescent="0.25">
      <c r="A15231" s="4">
        <v>15226</v>
      </c>
      <c r="B15231" s="3" t="str">
        <f>"201510002538"</f>
        <v>201510002538</v>
      </c>
    </row>
    <row r="15232" spans="1:2" x14ac:dyDescent="0.25">
      <c r="A15232" s="4">
        <v>15227</v>
      </c>
      <c r="B15232" s="3" t="str">
        <f>"201510002552"</f>
        <v>201510002552</v>
      </c>
    </row>
    <row r="15233" spans="1:2" x14ac:dyDescent="0.25">
      <c r="A15233" s="4">
        <v>15228</v>
      </c>
      <c r="B15233" s="3" t="str">
        <f>"201510002555"</f>
        <v>201510002555</v>
      </c>
    </row>
    <row r="15234" spans="1:2" x14ac:dyDescent="0.25">
      <c r="A15234" s="4">
        <v>15229</v>
      </c>
      <c r="B15234" s="3" t="str">
        <f>"201510002578"</f>
        <v>201510002578</v>
      </c>
    </row>
    <row r="15235" spans="1:2" x14ac:dyDescent="0.25">
      <c r="A15235" s="4">
        <v>15230</v>
      </c>
      <c r="B15235" s="3" t="str">
        <f>"201510002593"</f>
        <v>201510002593</v>
      </c>
    </row>
    <row r="15236" spans="1:2" x14ac:dyDescent="0.25">
      <c r="A15236" s="4">
        <v>15231</v>
      </c>
      <c r="B15236" s="3" t="str">
        <f>"201510002597"</f>
        <v>201510002597</v>
      </c>
    </row>
    <row r="15237" spans="1:2" x14ac:dyDescent="0.25">
      <c r="A15237" s="4">
        <v>15232</v>
      </c>
      <c r="B15237" s="3" t="str">
        <f>"201510002602"</f>
        <v>201510002602</v>
      </c>
    </row>
    <row r="15238" spans="1:2" x14ac:dyDescent="0.25">
      <c r="A15238" s="4">
        <v>15233</v>
      </c>
      <c r="B15238" s="3" t="str">
        <f>"201510002655"</f>
        <v>201510002655</v>
      </c>
    </row>
    <row r="15239" spans="1:2" x14ac:dyDescent="0.25">
      <c r="A15239" s="4">
        <v>15234</v>
      </c>
      <c r="B15239" s="3" t="str">
        <f>"201510002714"</f>
        <v>201510002714</v>
      </c>
    </row>
    <row r="15240" spans="1:2" x14ac:dyDescent="0.25">
      <c r="A15240" s="4">
        <v>15235</v>
      </c>
      <c r="B15240" s="3" t="str">
        <f>"201510002716"</f>
        <v>201510002716</v>
      </c>
    </row>
    <row r="15241" spans="1:2" x14ac:dyDescent="0.25">
      <c r="A15241" s="4">
        <v>15236</v>
      </c>
      <c r="B15241" s="3" t="str">
        <f>"201510002749"</f>
        <v>201510002749</v>
      </c>
    </row>
    <row r="15242" spans="1:2" x14ac:dyDescent="0.25">
      <c r="A15242" s="4">
        <v>15237</v>
      </c>
      <c r="B15242" s="3" t="str">
        <f>"201510002776"</f>
        <v>201510002776</v>
      </c>
    </row>
    <row r="15243" spans="1:2" x14ac:dyDescent="0.25">
      <c r="A15243" s="4">
        <v>15238</v>
      </c>
      <c r="B15243" s="3" t="str">
        <f>"201510002783"</f>
        <v>201510002783</v>
      </c>
    </row>
    <row r="15244" spans="1:2" x14ac:dyDescent="0.25">
      <c r="A15244" s="4">
        <v>15239</v>
      </c>
      <c r="B15244" s="3" t="str">
        <f>"201510002815"</f>
        <v>201510002815</v>
      </c>
    </row>
    <row r="15245" spans="1:2" x14ac:dyDescent="0.25">
      <c r="A15245" s="4">
        <v>15240</v>
      </c>
      <c r="B15245" s="3" t="str">
        <f>"201510002832"</f>
        <v>201510002832</v>
      </c>
    </row>
    <row r="15246" spans="1:2" x14ac:dyDescent="0.25">
      <c r="A15246" s="4">
        <v>15241</v>
      </c>
      <c r="B15246" s="3" t="str">
        <f>"201510002854"</f>
        <v>201510002854</v>
      </c>
    </row>
    <row r="15247" spans="1:2" x14ac:dyDescent="0.25">
      <c r="A15247" s="4">
        <v>15242</v>
      </c>
      <c r="B15247" s="3" t="str">
        <f>"201510002894"</f>
        <v>201510002894</v>
      </c>
    </row>
    <row r="15248" spans="1:2" x14ac:dyDescent="0.25">
      <c r="A15248" s="4">
        <v>15243</v>
      </c>
      <c r="B15248" s="3" t="str">
        <f>"201510002912"</f>
        <v>201510002912</v>
      </c>
    </row>
    <row r="15249" spans="1:2" x14ac:dyDescent="0.25">
      <c r="A15249" s="4">
        <v>15244</v>
      </c>
      <c r="B15249" s="3" t="str">
        <f>"201510002914"</f>
        <v>201510002914</v>
      </c>
    </row>
    <row r="15250" spans="1:2" x14ac:dyDescent="0.25">
      <c r="A15250" s="4">
        <v>15245</v>
      </c>
      <c r="B15250" s="3" t="str">
        <f>"201510003068"</f>
        <v>201510003068</v>
      </c>
    </row>
    <row r="15251" spans="1:2" x14ac:dyDescent="0.25">
      <c r="A15251" s="4">
        <v>15246</v>
      </c>
      <c r="B15251" s="3" t="str">
        <f>"201510003069"</f>
        <v>201510003069</v>
      </c>
    </row>
    <row r="15252" spans="1:2" x14ac:dyDescent="0.25">
      <c r="A15252" s="4">
        <v>15247</v>
      </c>
      <c r="B15252" s="3" t="str">
        <f>"201510003189"</f>
        <v>201510003189</v>
      </c>
    </row>
    <row r="15253" spans="1:2" x14ac:dyDescent="0.25">
      <c r="A15253" s="4">
        <v>15248</v>
      </c>
      <c r="B15253" s="3" t="str">
        <f>"201510003240"</f>
        <v>201510003240</v>
      </c>
    </row>
    <row r="15254" spans="1:2" x14ac:dyDescent="0.25">
      <c r="A15254" s="4">
        <v>15249</v>
      </c>
      <c r="B15254" s="3" t="str">
        <f>"201510003249"</f>
        <v>201510003249</v>
      </c>
    </row>
    <row r="15255" spans="1:2" x14ac:dyDescent="0.25">
      <c r="A15255" s="4">
        <v>15250</v>
      </c>
      <c r="B15255" s="3" t="str">
        <f>"201510003273"</f>
        <v>201510003273</v>
      </c>
    </row>
    <row r="15256" spans="1:2" x14ac:dyDescent="0.25">
      <c r="A15256" s="4">
        <v>15251</v>
      </c>
      <c r="B15256" s="3" t="str">
        <f>"201510003292"</f>
        <v>201510003292</v>
      </c>
    </row>
    <row r="15257" spans="1:2" x14ac:dyDescent="0.25">
      <c r="A15257" s="4">
        <v>15252</v>
      </c>
      <c r="B15257" s="3" t="str">
        <f>"201510003298"</f>
        <v>201510003298</v>
      </c>
    </row>
    <row r="15258" spans="1:2" x14ac:dyDescent="0.25">
      <c r="A15258" s="4">
        <v>15253</v>
      </c>
      <c r="B15258" s="3" t="str">
        <f>"201510003321"</f>
        <v>201510003321</v>
      </c>
    </row>
    <row r="15259" spans="1:2" x14ac:dyDescent="0.25">
      <c r="A15259" s="4">
        <v>15254</v>
      </c>
      <c r="B15259" s="3" t="str">
        <f>"201510003361"</f>
        <v>201510003361</v>
      </c>
    </row>
    <row r="15260" spans="1:2" x14ac:dyDescent="0.25">
      <c r="A15260" s="4">
        <v>15255</v>
      </c>
      <c r="B15260" s="3" t="str">
        <f>"201510003366"</f>
        <v>201510003366</v>
      </c>
    </row>
    <row r="15261" spans="1:2" x14ac:dyDescent="0.25">
      <c r="A15261" s="4">
        <v>15256</v>
      </c>
      <c r="B15261" s="3" t="str">
        <f>"201510003373"</f>
        <v>201510003373</v>
      </c>
    </row>
    <row r="15262" spans="1:2" x14ac:dyDescent="0.25">
      <c r="A15262" s="4">
        <v>15257</v>
      </c>
      <c r="B15262" s="3" t="str">
        <f>"201510003395"</f>
        <v>201510003395</v>
      </c>
    </row>
    <row r="15263" spans="1:2" x14ac:dyDescent="0.25">
      <c r="A15263" s="4">
        <v>15258</v>
      </c>
      <c r="B15263" s="3" t="str">
        <f>"201510003408"</f>
        <v>201510003408</v>
      </c>
    </row>
    <row r="15264" spans="1:2" x14ac:dyDescent="0.25">
      <c r="A15264" s="4">
        <v>15259</v>
      </c>
      <c r="B15264" s="3" t="str">
        <f>"201510003437"</f>
        <v>201510003437</v>
      </c>
    </row>
    <row r="15265" spans="1:2" x14ac:dyDescent="0.25">
      <c r="A15265" s="4">
        <v>15260</v>
      </c>
      <c r="B15265" s="3" t="str">
        <f>"201510003438"</f>
        <v>201510003438</v>
      </c>
    </row>
    <row r="15266" spans="1:2" x14ac:dyDescent="0.25">
      <c r="A15266" s="4">
        <v>15261</v>
      </c>
      <c r="B15266" s="3" t="str">
        <f>"201510003443"</f>
        <v>201510003443</v>
      </c>
    </row>
    <row r="15267" spans="1:2" x14ac:dyDescent="0.25">
      <c r="A15267" s="4">
        <v>15262</v>
      </c>
      <c r="B15267" s="3" t="str">
        <f>"201510003517"</f>
        <v>201510003517</v>
      </c>
    </row>
    <row r="15268" spans="1:2" x14ac:dyDescent="0.25">
      <c r="A15268" s="4">
        <v>15263</v>
      </c>
      <c r="B15268" s="3" t="str">
        <f>"201510003546"</f>
        <v>201510003546</v>
      </c>
    </row>
    <row r="15269" spans="1:2" x14ac:dyDescent="0.25">
      <c r="A15269" s="4">
        <v>15264</v>
      </c>
      <c r="B15269" s="3" t="str">
        <f>"201510003610"</f>
        <v>201510003610</v>
      </c>
    </row>
    <row r="15270" spans="1:2" x14ac:dyDescent="0.25">
      <c r="A15270" s="4">
        <v>15265</v>
      </c>
      <c r="B15270" s="3" t="str">
        <f>"201510003612"</f>
        <v>201510003612</v>
      </c>
    </row>
    <row r="15271" spans="1:2" x14ac:dyDescent="0.25">
      <c r="A15271" s="4">
        <v>15266</v>
      </c>
      <c r="B15271" s="3" t="str">
        <f>"201510003657"</f>
        <v>201510003657</v>
      </c>
    </row>
    <row r="15272" spans="1:2" x14ac:dyDescent="0.25">
      <c r="A15272" s="4">
        <v>15267</v>
      </c>
      <c r="B15272" s="3" t="str">
        <f>"201510003684"</f>
        <v>201510003684</v>
      </c>
    </row>
    <row r="15273" spans="1:2" x14ac:dyDescent="0.25">
      <c r="A15273" s="4">
        <v>15268</v>
      </c>
      <c r="B15273" s="3" t="str">
        <f>"201510003691"</f>
        <v>201510003691</v>
      </c>
    </row>
    <row r="15274" spans="1:2" x14ac:dyDescent="0.25">
      <c r="A15274" s="4">
        <v>15269</v>
      </c>
      <c r="B15274" s="3" t="str">
        <f>"201510003701"</f>
        <v>201510003701</v>
      </c>
    </row>
    <row r="15275" spans="1:2" x14ac:dyDescent="0.25">
      <c r="A15275" s="4">
        <v>15270</v>
      </c>
      <c r="B15275" s="3" t="str">
        <f>"201510003777"</f>
        <v>201510003777</v>
      </c>
    </row>
    <row r="15276" spans="1:2" x14ac:dyDescent="0.25">
      <c r="A15276" s="4">
        <v>15271</v>
      </c>
      <c r="B15276" s="3" t="str">
        <f>"201510003799"</f>
        <v>201510003799</v>
      </c>
    </row>
    <row r="15277" spans="1:2" x14ac:dyDescent="0.25">
      <c r="A15277" s="4">
        <v>15272</v>
      </c>
      <c r="B15277" s="3" t="str">
        <f>"201510003804"</f>
        <v>201510003804</v>
      </c>
    </row>
    <row r="15278" spans="1:2" x14ac:dyDescent="0.25">
      <c r="A15278" s="4">
        <v>15273</v>
      </c>
      <c r="B15278" s="3" t="str">
        <f>"201510003806"</f>
        <v>201510003806</v>
      </c>
    </row>
    <row r="15279" spans="1:2" x14ac:dyDescent="0.25">
      <c r="A15279" s="4">
        <v>15274</v>
      </c>
      <c r="B15279" s="3" t="str">
        <f>"201510003870"</f>
        <v>201510003870</v>
      </c>
    </row>
    <row r="15280" spans="1:2" x14ac:dyDescent="0.25">
      <c r="A15280" s="4">
        <v>15275</v>
      </c>
      <c r="B15280" s="3" t="str">
        <f>"201510003884"</f>
        <v>201510003884</v>
      </c>
    </row>
    <row r="15281" spans="1:2" x14ac:dyDescent="0.25">
      <c r="A15281" s="4">
        <v>15276</v>
      </c>
      <c r="B15281" s="3" t="str">
        <f>"201510003903"</f>
        <v>201510003903</v>
      </c>
    </row>
    <row r="15282" spans="1:2" x14ac:dyDescent="0.25">
      <c r="A15282" s="4">
        <v>15277</v>
      </c>
      <c r="B15282" s="3" t="str">
        <f>"201510003916"</f>
        <v>201510003916</v>
      </c>
    </row>
    <row r="15283" spans="1:2" x14ac:dyDescent="0.25">
      <c r="A15283" s="4">
        <v>15278</v>
      </c>
      <c r="B15283" s="3" t="str">
        <f>"201510003926"</f>
        <v>201510003926</v>
      </c>
    </row>
    <row r="15284" spans="1:2" x14ac:dyDescent="0.25">
      <c r="A15284" s="4">
        <v>15279</v>
      </c>
      <c r="B15284" s="3" t="str">
        <f>"201510003935"</f>
        <v>201510003935</v>
      </c>
    </row>
    <row r="15285" spans="1:2" x14ac:dyDescent="0.25">
      <c r="A15285" s="4">
        <v>15280</v>
      </c>
      <c r="B15285" s="3" t="str">
        <f>"201510004021"</f>
        <v>201510004021</v>
      </c>
    </row>
    <row r="15286" spans="1:2" x14ac:dyDescent="0.25">
      <c r="A15286" s="4">
        <v>15281</v>
      </c>
      <c r="B15286" s="3" t="str">
        <f>"201510004038"</f>
        <v>201510004038</v>
      </c>
    </row>
    <row r="15287" spans="1:2" x14ac:dyDescent="0.25">
      <c r="A15287" s="4">
        <v>15282</v>
      </c>
      <c r="B15287" s="3" t="str">
        <f>"201510004058"</f>
        <v>201510004058</v>
      </c>
    </row>
    <row r="15288" spans="1:2" x14ac:dyDescent="0.25">
      <c r="A15288" s="4">
        <v>15283</v>
      </c>
      <c r="B15288" s="3" t="str">
        <f>"201510004072"</f>
        <v>201510004072</v>
      </c>
    </row>
    <row r="15289" spans="1:2" x14ac:dyDescent="0.25">
      <c r="A15289" s="4">
        <v>15284</v>
      </c>
      <c r="B15289" s="3" t="str">
        <f>"201510004093"</f>
        <v>201510004093</v>
      </c>
    </row>
    <row r="15290" spans="1:2" x14ac:dyDescent="0.25">
      <c r="A15290" s="4">
        <v>15285</v>
      </c>
      <c r="B15290" s="3" t="str">
        <f>"201510004095"</f>
        <v>201510004095</v>
      </c>
    </row>
    <row r="15291" spans="1:2" x14ac:dyDescent="0.25">
      <c r="A15291" s="4">
        <v>15286</v>
      </c>
      <c r="B15291" s="3" t="str">
        <f>"201510004111"</f>
        <v>201510004111</v>
      </c>
    </row>
    <row r="15292" spans="1:2" x14ac:dyDescent="0.25">
      <c r="A15292" s="4">
        <v>15287</v>
      </c>
      <c r="B15292" s="3" t="str">
        <f>"201510004155"</f>
        <v>201510004155</v>
      </c>
    </row>
    <row r="15293" spans="1:2" x14ac:dyDescent="0.25">
      <c r="A15293" s="4">
        <v>15288</v>
      </c>
      <c r="B15293" s="3" t="str">
        <f>"201510004179"</f>
        <v>201510004179</v>
      </c>
    </row>
    <row r="15294" spans="1:2" x14ac:dyDescent="0.25">
      <c r="A15294" s="4">
        <v>15289</v>
      </c>
      <c r="B15294" s="3" t="str">
        <f>"201510004196"</f>
        <v>201510004196</v>
      </c>
    </row>
    <row r="15295" spans="1:2" x14ac:dyDescent="0.25">
      <c r="A15295" s="4">
        <v>15290</v>
      </c>
      <c r="B15295" s="3" t="str">
        <f>"201510004319"</f>
        <v>201510004319</v>
      </c>
    </row>
    <row r="15296" spans="1:2" x14ac:dyDescent="0.25">
      <c r="A15296" s="4">
        <v>15291</v>
      </c>
      <c r="B15296" s="3" t="str">
        <f>"201510004344"</f>
        <v>201510004344</v>
      </c>
    </row>
    <row r="15297" spans="1:2" x14ac:dyDescent="0.25">
      <c r="A15297" s="4">
        <v>15292</v>
      </c>
      <c r="B15297" s="3" t="str">
        <f>"201510004376"</f>
        <v>201510004376</v>
      </c>
    </row>
    <row r="15298" spans="1:2" x14ac:dyDescent="0.25">
      <c r="A15298" s="4">
        <v>15293</v>
      </c>
      <c r="B15298" s="3" t="str">
        <f>"201510004403"</f>
        <v>201510004403</v>
      </c>
    </row>
    <row r="15299" spans="1:2" x14ac:dyDescent="0.25">
      <c r="A15299" s="4">
        <v>15294</v>
      </c>
      <c r="B15299" s="3" t="str">
        <f>"201510004431"</f>
        <v>201510004431</v>
      </c>
    </row>
    <row r="15300" spans="1:2" x14ac:dyDescent="0.25">
      <c r="A15300" s="4">
        <v>15295</v>
      </c>
      <c r="B15300" s="3" t="str">
        <f>"201510004442"</f>
        <v>201510004442</v>
      </c>
    </row>
    <row r="15301" spans="1:2" x14ac:dyDescent="0.25">
      <c r="A15301" s="4">
        <v>15296</v>
      </c>
      <c r="B15301" s="3" t="str">
        <f>"201510004451"</f>
        <v>201510004451</v>
      </c>
    </row>
    <row r="15302" spans="1:2" x14ac:dyDescent="0.25">
      <c r="A15302" s="4">
        <v>15297</v>
      </c>
      <c r="B15302" s="3" t="str">
        <f>"201510004462"</f>
        <v>201510004462</v>
      </c>
    </row>
    <row r="15303" spans="1:2" x14ac:dyDescent="0.25">
      <c r="A15303" s="4">
        <v>15298</v>
      </c>
      <c r="B15303" s="3" t="str">
        <f>"201510004497"</f>
        <v>201510004497</v>
      </c>
    </row>
    <row r="15304" spans="1:2" x14ac:dyDescent="0.25">
      <c r="A15304" s="4">
        <v>15299</v>
      </c>
      <c r="B15304" s="3" t="str">
        <f>"201510004503"</f>
        <v>201510004503</v>
      </c>
    </row>
    <row r="15305" spans="1:2" x14ac:dyDescent="0.25">
      <c r="A15305" s="4">
        <v>15300</v>
      </c>
      <c r="B15305" s="3" t="str">
        <f>"201510004536"</f>
        <v>201510004536</v>
      </c>
    </row>
    <row r="15306" spans="1:2" x14ac:dyDescent="0.25">
      <c r="A15306" s="4">
        <v>15301</v>
      </c>
      <c r="B15306" s="3" t="str">
        <f>"201510004538"</f>
        <v>201510004538</v>
      </c>
    </row>
    <row r="15307" spans="1:2" x14ac:dyDescent="0.25">
      <c r="A15307" s="4">
        <v>15302</v>
      </c>
      <c r="B15307" s="3" t="str">
        <f>"201510004565"</f>
        <v>201510004565</v>
      </c>
    </row>
    <row r="15308" spans="1:2" x14ac:dyDescent="0.25">
      <c r="A15308" s="4">
        <v>15303</v>
      </c>
      <c r="B15308" s="3" t="str">
        <f>"201510004616"</f>
        <v>201510004616</v>
      </c>
    </row>
    <row r="15309" spans="1:2" x14ac:dyDescent="0.25">
      <c r="A15309" s="4">
        <v>15304</v>
      </c>
      <c r="B15309" s="3" t="str">
        <f>"201510004649"</f>
        <v>201510004649</v>
      </c>
    </row>
    <row r="15310" spans="1:2" x14ac:dyDescent="0.25">
      <c r="A15310" s="4">
        <v>15305</v>
      </c>
      <c r="B15310" s="3" t="str">
        <f>"201510004768"</f>
        <v>201510004768</v>
      </c>
    </row>
    <row r="15311" spans="1:2" x14ac:dyDescent="0.25">
      <c r="A15311" s="4">
        <v>15306</v>
      </c>
      <c r="B15311" s="3" t="str">
        <f>"201510004780"</f>
        <v>201510004780</v>
      </c>
    </row>
    <row r="15312" spans="1:2" x14ac:dyDescent="0.25">
      <c r="A15312" s="4">
        <v>15307</v>
      </c>
      <c r="B15312" s="3" t="str">
        <f>"201510004802"</f>
        <v>201510004802</v>
      </c>
    </row>
    <row r="15313" spans="1:2" x14ac:dyDescent="0.25">
      <c r="A15313" s="4">
        <v>15308</v>
      </c>
      <c r="B15313" s="3" t="str">
        <f>"201510004813"</f>
        <v>201510004813</v>
      </c>
    </row>
    <row r="15314" spans="1:2" x14ac:dyDescent="0.25">
      <c r="A15314" s="4">
        <v>15309</v>
      </c>
      <c r="B15314" s="3" t="str">
        <f>"201510004829"</f>
        <v>201510004829</v>
      </c>
    </row>
    <row r="15315" spans="1:2" x14ac:dyDescent="0.25">
      <c r="A15315" s="4">
        <v>15310</v>
      </c>
      <c r="B15315" s="3" t="str">
        <f>"201510004840"</f>
        <v>201510004840</v>
      </c>
    </row>
    <row r="15316" spans="1:2" x14ac:dyDescent="0.25">
      <c r="A15316" s="4">
        <v>15311</v>
      </c>
      <c r="B15316" s="3" t="str">
        <f>"201510004845"</f>
        <v>201510004845</v>
      </c>
    </row>
    <row r="15317" spans="1:2" x14ac:dyDescent="0.25">
      <c r="A15317" s="4">
        <v>15312</v>
      </c>
      <c r="B15317" s="3" t="str">
        <f>"201510004862"</f>
        <v>201510004862</v>
      </c>
    </row>
    <row r="15318" spans="1:2" x14ac:dyDescent="0.25">
      <c r="A15318" s="4">
        <v>15313</v>
      </c>
      <c r="B15318" s="3" t="str">
        <f>"201510004876"</f>
        <v>201510004876</v>
      </c>
    </row>
    <row r="15319" spans="1:2" x14ac:dyDescent="0.25">
      <c r="A15319" s="4">
        <v>15314</v>
      </c>
      <c r="B15319" s="3" t="str">
        <f>"201510004903"</f>
        <v>201510004903</v>
      </c>
    </row>
    <row r="15320" spans="1:2" x14ac:dyDescent="0.25">
      <c r="A15320" s="4">
        <v>15315</v>
      </c>
      <c r="B15320" s="3" t="str">
        <f>"201510004956"</f>
        <v>201510004956</v>
      </c>
    </row>
    <row r="15321" spans="1:2" x14ac:dyDescent="0.25">
      <c r="A15321" s="4">
        <v>15316</v>
      </c>
      <c r="B15321" s="3" t="str">
        <f>"201510004957"</f>
        <v>201510004957</v>
      </c>
    </row>
    <row r="15322" spans="1:2" x14ac:dyDescent="0.25">
      <c r="A15322" s="4">
        <v>15317</v>
      </c>
      <c r="B15322" s="3" t="str">
        <f>"201510004966"</f>
        <v>201510004966</v>
      </c>
    </row>
    <row r="15323" spans="1:2" x14ac:dyDescent="0.25">
      <c r="A15323" s="4">
        <v>15318</v>
      </c>
      <c r="B15323" s="3" t="str">
        <f>"201510004998"</f>
        <v>201510004998</v>
      </c>
    </row>
    <row r="15324" spans="1:2" x14ac:dyDescent="0.25">
      <c r="A15324" s="4">
        <v>15319</v>
      </c>
      <c r="B15324" s="3" t="str">
        <f>"201510005010"</f>
        <v>201510005010</v>
      </c>
    </row>
    <row r="15325" spans="1:2" x14ac:dyDescent="0.25">
      <c r="A15325" s="4">
        <v>15320</v>
      </c>
      <c r="B15325" s="3" t="str">
        <f>"201510005099"</f>
        <v>201510005099</v>
      </c>
    </row>
    <row r="15326" spans="1:2" x14ac:dyDescent="0.25">
      <c r="A15326" s="4">
        <v>15321</v>
      </c>
      <c r="B15326" s="3" t="str">
        <f>"201511000010"</f>
        <v>201511000010</v>
      </c>
    </row>
    <row r="15327" spans="1:2" x14ac:dyDescent="0.25">
      <c r="A15327" s="4">
        <v>15322</v>
      </c>
      <c r="B15327" s="3" t="str">
        <f>"201511000046"</f>
        <v>201511000046</v>
      </c>
    </row>
    <row r="15328" spans="1:2" x14ac:dyDescent="0.25">
      <c r="A15328" s="4">
        <v>15323</v>
      </c>
      <c r="B15328" s="3" t="str">
        <f>"201511004406"</f>
        <v>201511004406</v>
      </c>
    </row>
    <row r="15329" spans="1:2" x14ac:dyDescent="0.25">
      <c r="A15329" s="4">
        <v>15324</v>
      </c>
      <c r="B15329" s="3" t="str">
        <f>"201511004431"</f>
        <v>201511004431</v>
      </c>
    </row>
    <row r="15330" spans="1:2" x14ac:dyDescent="0.25">
      <c r="A15330" s="4">
        <v>15325</v>
      </c>
      <c r="B15330" s="3" t="str">
        <f>"201511004475"</f>
        <v>201511004475</v>
      </c>
    </row>
    <row r="15331" spans="1:2" x14ac:dyDescent="0.25">
      <c r="A15331" s="4">
        <v>15326</v>
      </c>
      <c r="B15331" s="3" t="str">
        <f>"201511004490"</f>
        <v>201511004490</v>
      </c>
    </row>
    <row r="15332" spans="1:2" x14ac:dyDescent="0.25">
      <c r="A15332" s="4">
        <v>15327</v>
      </c>
      <c r="B15332" s="3" t="str">
        <f>"201511004520"</f>
        <v>201511004520</v>
      </c>
    </row>
    <row r="15333" spans="1:2" x14ac:dyDescent="0.25">
      <c r="A15333" s="4">
        <v>15328</v>
      </c>
      <c r="B15333" s="3" t="str">
        <f>"201511004546"</f>
        <v>201511004546</v>
      </c>
    </row>
    <row r="15334" spans="1:2" x14ac:dyDescent="0.25">
      <c r="A15334" s="4">
        <v>15329</v>
      </c>
      <c r="B15334" s="3" t="str">
        <f>"201511004565"</f>
        <v>201511004565</v>
      </c>
    </row>
    <row r="15335" spans="1:2" x14ac:dyDescent="0.25">
      <c r="A15335" s="4">
        <v>15330</v>
      </c>
      <c r="B15335" s="3" t="str">
        <f>"201511004586"</f>
        <v>201511004586</v>
      </c>
    </row>
    <row r="15336" spans="1:2" x14ac:dyDescent="0.25">
      <c r="A15336" s="4">
        <v>15331</v>
      </c>
      <c r="B15336" s="3" t="str">
        <f>"201511004591"</f>
        <v>201511004591</v>
      </c>
    </row>
    <row r="15337" spans="1:2" x14ac:dyDescent="0.25">
      <c r="A15337" s="4">
        <v>15332</v>
      </c>
      <c r="B15337" s="3" t="str">
        <f>"201511004592"</f>
        <v>201511004592</v>
      </c>
    </row>
    <row r="15338" spans="1:2" x14ac:dyDescent="0.25">
      <c r="A15338" s="4">
        <v>15333</v>
      </c>
      <c r="B15338" s="3" t="str">
        <f>"201511004598"</f>
        <v>201511004598</v>
      </c>
    </row>
    <row r="15339" spans="1:2" x14ac:dyDescent="0.25">
      <c r="A15339" s="4">
        <v>15334</v>
      </c>
      <c r="B15339" s="3" t="str">
        <f>"201511004613"</f>
        <v>201511004613</v>
      </c>
    </row>
    <row r="15340" spans="1:2" x14ac:dyDescent="0.25">
      <c r="A15340" s="4">
        <v>15335</v>
      </c>
      <c r="B15340" s="3" t="str">
        <f>"201511004620"</f>
        <v>201511004620</v>
      </c>
    </row>
    <row r="15341" spans="1:2" x14ac:dyDescent="0.25">
      <c r="A15341" s="4">
        <v>15336</v>
      </c>
      <c r="B15341" s="3" t="str">
        <f>"201511004651"</f>
        <v>201511004651</v>
      </c>
    </row>
    <row r="15342" spans="1:2" x14ac:dyDescent="0.25">
      <c r="A15342" s="4">
        <v>15337</v>
      </c>
      <c r="B15342" s="3" t="str">
        <f>"201511004652"</f>
        <v>201511004652</v>
      </c>
    </row>
    <row r="15343" spans="1:2" x14ac:dyDescent="0.25">
      <c r="A15343" s="4">
        <v>15338</v>
      </c>
      <c r="B15343" s="3" t="str">
        <f>"201511004655"</f>
        <v>201511004655</v>
      </c>
    </row>
    <row r="15344" spans="1:2" x14ac:dyDescent="0.25">
      <c r="A15344" s="4">
        <v>15339</v>
      </c>
      <c r="B15344" s="3" t="str">
        <f>"201511004692"</f>
        <v>201511004692</v>
      </c>
    </row>
    <row r="15345" spans="1:2" x14ac:dyDescent="0.25">
      <c r="A15345" s="4">
        <v>15340</v>
      </c>
      <c r="B15345" s="3" t="str">
        <f>"201511004719"</f>
        <v>201511004719</v>
      </c>
    </row>
    <row r="15346" spans="1:2" x14ac:dyDescent="0.25">
      <c r="A15346" s="4">
        <v>15341</v>
      </c>
      <c r="B15346" s="3" t="str">
        <f>"201511004727"</f>
        <v>201511004727</v>
      </c>
    </row>
    <row r="15347" spans="1:2" x14ac:dyDescent="0.25">
      <c r="A15347" s="4">
        <v>15342</v>
      </c>
      <c r="B15347" s="3" t="str">
        <f>"201511004762"</f>
        <v>201511004762</v>
      </c>
    </row>
    <row r="15348" spans="1:2" x14ac:dyDescent="0.25">
      <c r="A15348" s="4">
        <v>15343</v>
      </c>
      <c r="B15348" s="3" t="str">
        <f>"201511004769"</f>
        <v>201511004769</v>
      </c>
    </row>
    <row r="15349" spans="1:2" x14ac:dyDescent="0.25">
      <c r="A15349" s="4">
        <v>15344</v>
      </c>
      <c r="B15349" s="3" t="str">
        <f>"201511004786"</f>
        <v>201511004786</v>
      </c>
    </row>
    <row r="15350" spans="1:2" x14ac:dyDescent="0.25">
      <c r="A15350" s="4">
        <v>15345</v>
      </c>
      <c r="B15350" s="3" t="str">
        <f>"201511004807"</f>
        <v>201511004807</v>
      </c>
    </row>
    <row r="15351" spans="1:2" x14ac:dyDescent="0.25">
      <c r="A15351" s="4">
        <v>15346</v>
      </c>
      <c r="B15351" s="3" t="str">
        <f>"201511004825"</f>
        <v>201511004825</v>
      </c>
    </row>
    <row r="15352" spans="1:2" x14ac:dyDescent="0.25">
      <c r="A15352" s="4">
        <v>15347</v>
      </c>
      <c r="B15352" s="3" t="str">
        <f>"201511004834"</f>
        <v>201511004834</v>
      </c>
    </row>
    <row r="15353" spans="1:2" x14ac:dyDescent="0.25">
      <c r="A15353" s="4">
        <v>15348</v>
      </c>
      <c r="B15353" s="3" t="str">
        <f>"201511004860"</f>
        <v>201511004860</v>
      </c>
    </row>
    <row r="15354" spans="1:2" x14ac:dyDescent="0.25">
      <c r="A15354" s="4">
        <v>15349</v>
      </c>
      <c r="B15354" s="3" t="str">
        <f>"201511004862"</f>
        <v>201511004862</v>
      </c>
    </row>
    <row r="15355" spans="1:2" x14ac:dyDescent="0.25">
      <c r="A15355" s="4">
        <v>15350</v>
      </c>
      <c r="B15355" s="3" t="str">
        <f>"201511004863"</f>
        <v>201511004863</v>
      </c>
    </row>
    <row r="15356" spans="1:2" x14ac:dyDescent="0.25">
      <c r="A15356" s="4">
        <v>15351</v>
      </c>
      <c r="B15356" s="3" t="str">
        <f>"201511004868"</f>
        <v>201511004868</v>
      </c>
    </row>
    <row r="15357" spans="1:2" x14ac:dyDescent="0.25">
      <c r="A15357" s="4">
        <v>15352</v>
      </c>
      <c r="B15357" s="3" t="str">
        <f>"201511004882"</f>
        <v>201511004882</v>
      </c>
    </row>
    <row r="15358" spans="1:2" x14ac:dyDescent="0.25">
      <c r="A15358" s="4">
        <v>15353</v>
      </c>
      <c r="B15358" s="3" t="str">
        <f>"201511004904"</f>
        <v>201511004904</v>
      </c>
    </row>
    <row r="15359" spans="1:2" x14ac:dyDescent="0.25">
      <c r="A15359" s="4">
        <v>15354</v>
      </c>
      <c r="B15359" s="3" t="str">
        <f>"201511004906"</f>
        <v>201511004906</v>
      </c>
    </row>
    <row r="15360" spans="1:2" x14ac:dyDescent="0.25">
      <c r="A15360" s="4">
        <v>15355</v>
      </c>
      <c r="B15360" s="3" t="str">
        <f>"201511004933"</f>
        <v>201511004933</v>
      </c>
    </row>
    <row r="15361" spans="1:2" x14ac:dyDescent="0.25">
      <c r="A15361" s="4">
        <v>15356</v>
      </c>
      <c r="B15361" s="3" t="str">
        <f>"201511004938"</f>
        <v>201511004938</v>
      </c>
    </row>
    <row r="15362" spans="1:2" x14ac:dyDescent="0.25">
      <c r="A15362" s="4">
        <v>15357</v>
      </c>
      <c r="B15362" s="3" t="str">
        <f>"201511004958"</f>
        <v>201511004958</v>
      </c>
    </row>
    <row r="15363" spans="1:2" x14ac:dyDescent="0.25">
      <c r="A15363" s="4">
        <v>15358</v>
      </c>
      <c r="B15363" s="3" t="str">
        <f>"201511004990"</f>
        <v>201511004990</v>
      </c>
    </row>
    <row r="15364" spans="1:2" x14ac:dyDescent="0.25">
      <c r="A15364" s="4">
        <v>15359</v>
      </c>
      <c r="B15364" s="3" t="str">
        <f>"201511004993"</f>
        <v>201511004993</v>
      </c>
    </row>
    <row r="15365" spans="1:2" x14ac:dyDescent="0.25">
      <c r="A15365" s="4">
        <v>15360</v>
      </c>
      <c r="B15365" s="3" t="str">
        <f>"201511005002"</f>
        <v>201511005002</v>
      </c>
    </row>
    <row r="15366" spans="1:2" x14ac:dyDescent="0.25">
      <c r="A15366" s="4">
        <v>15361</v>
      </c>
      <c r="B15366" s="3" t="str">
        <f>"201511005022"</f>
        <v>201511005022</v>
      </c>
    </row>
    <row r="15367" spans="1:2" x14ac:dyDescent="0.25">
      <c r="A15367" s="4">
        <v>15362</v>
      </c>
      <c r="B15367" s="3" t="str">
        <f>"201511005042"</f>
        <v>201511005042</v>
      </c>
    </row>
    <row r="15368" spans="1:2" x14ac:dyDescent="0.25">
      <c r="A15368" s="4">
        <v>15363</v>
      </c>
      <c r="B15368" s="3" t="str">
        <f>"201511005069"</f>
        <v>201511005069</v>
      </c>
    </row>
    <row r="15369" spans="1:2" x14ac:dyDescent="0.25">
      <c r="A15369" s="4">
        <v>15364</v>
      </c>
      <c r="B15369" s="3" t="str">
        <f>"201511005077"</f>
        <v>201511005077</v>
      </c>
    </row>
    <row r="15370" spans="1:2" x14ac:dyDescent="0.25">
      <c r="A15370" s="4">
        <v>15365</v>
      </c>
      <c r="B15370" s="3" t="str">
        <f>"201511005120"</f>
        <v>201511005120</v>
      </c>
    </row>
    <row r="15371" spans="1:2" x14ac:dyDescent="0.25">
      <c r="A15371" s="4">
        <v>15366</v>
      </c>
      <c r="B15371" s="3" t="str">
        <f>"201511005141"</f>
        <v>201511005141</v>
      </c>
    </row>
    <row r="15372" spans="1:2" x14ac:dyDescent="0.25">
      <c r="A15372" s="4">
        <v>15367</v>
      </c>
      <c r="B15372" s="3" t="str">
        <f>"201511005156"</f>
        <v>201511005156</v>
      </c>
    </row>
    <row r="15373" spans="1:2" x14ac:dyDescent="0.25">
      <c r="A15373" s="4">
        <v>15368</v>
      </c>
      <c r="B15373" s="3" t="str">
        <f>"201511005166"</f>
        <v>201511005166</v>
      </c>
    </row>
    <row r="15374" spans="1:2" x14ac:dyDescent="0.25">
      <c r="A15374" s="4">
        <v>15369</v>
      </c>
      <c r="B15374" s="3" t="str">
        <f>"201511005168"</f>
        <v>201511005168</v>
      </c>
    </row>
    <row r="15375" spans="1:2" x14ac:dyDescent="0.25">
      <c r="A15375" s="4">
        <v>15370</v>
      </c>
      <c r="B15375" s="3" t="str">
        <f>"201511005172"</f>
        <v>201511005172</v>
      </c>
    </row>
    <row r="15376" spans="1:2" x14ac:dyDescent="0.25">
      <c r="A15376" s="4">
        <v>15371</v>
      </c>
      <c r="B15376" s="3" t="str">
        <f>"201511005186"</f>
        <v>201511005186</v>
      </c>
    </row>
    <row r="15377" spans="1:2" x14ac:dyDescent="0.25">
      <c r="A15377" s="4">
        <v>15372</v>
      </c>
      <c r="B15377" s="3" t="str">
        <f>"201511005206"</f>
        <v>201511005206</v>
      </c>
    </row>
    <row r="15378" spans="1:2" x14ac:dyDescent="0.25">
      <c r="A15378" s="4">
        <v>15373</v>
      </c>
      <c r="B15378" s="3" t="str">
        <f>"201511005252"</f>
        <v>201511005252</v>
      </c>
    </row>
    <row r="15379" spans="1:2" x14ac:dyDescent="0.25">
      <c r="A15379" s="4">
        <v>15374</v>
      </c>
      <c r="B15379" s="3" t="str">
        <f>"201511005274"</f>
        <v>201511005274</v>
      </c>
    </row>
    <row r="15380" spans="1:2" x14ac:dyDescent="0.25">
      <c r="A15380" s="4">
        <v>15375</v>
      </c>
      <c r="B15380" s="3" t="str">
        <f>"201511005292"</f>
        <v>201511005292</v>
      </c>
    </row>
    <row r="15381" spans="1:2" x14ac:dyDescent="0.25">
      <c r="A15381" s="4">
        <v>15376</v>
      </c>
      <c r="B15381" s="3" t="str">
        <f>"201511005307"</f>
        <v>201511005307</v>
      </c>
    </row>
    <row r="15382" spans="1:2" x14ac:dyDescent="0.25">
      <c r="A15382" s="4">
        <v>15377</v>
      </c>
      <c r="B15382" s="3" t="str">
        <f>"201511005309"</f>
        <v>201511005309</v>
      </c>
    </row>
    <row r="15383" spans="1:2" x14ac:dyDescent="0.25">
      <c r="A15383" s="4">
        <v>15378</v>
      </c>
      <c r="B15383" s="3" t="str">
        <f>"201511005331"</f>
        <v>201511005331</v>
      </c>
    </row>
    <row r="15384" spans="1:2" x14ac:dyDescent="0.25">
      <c r="A15384" s="4">
        <v>15379</v>
      </c>
      <c r="B15384" s="3" t="str">
        <f>"201511005334"</f>
        <v>201511005334</v>
      </c>
    </row>
    <row r="15385" spans="1:2" x14ac:dyDescent="0.25">
      <c r="A15385" s="4">
        <v>15380</v>
      </c>
      <c r="B15385" s="3" t="str">
        <f>"201511005378"</f>
        <v>201511005378</v>
      </c>
    </row>
    <row r="15386" spans="1:2" x14ac:dyDescent="0.25">
      <c r="A15386" s="4">
        <v>15381</v>
      </c>
      <c r="B15386" s="3" t="str">
        <f>"201511005516"</f>
        <v>201511005516</v>
      </c>
    </row>
    <row r="15387" spans="1:2" x14ac:dyDescent="0.25">
      <c r="A15387" s="4">
        <v>15382</v>
      </c>
      <c r="B15387" s="3" t="str">
        <f>"201511005544"</f>
        <v>201511005544</v>
      </c>
    </row>
    <row r="15388" spans="1:2" x14ac:dyDescent="0.25">
      <c r="A15388" s="4">
        <v>15383</v>
      </c>
      <c r="B15388" s="3" t="str">
        <f>"201511005567"</f>
        <v>201511005567</v>
      </c>
    </row>
    <row r="15389" spans="1:2" x14ac:dyDescent="0.25">
      <c r="A15389" s="4">
        <v>15384</v>
      </c>
      <c r="B15389" s="3" t="str">
        <f>"201511005616"</f>
        <v>201511005616</v>
      </c>
    </row>
    <row r="15390" spans="1:2" x14ac:dyDescent="0.25">
      <c r="A15390" s="4">
        <v>15385</v>
      </c>
      <c r="B15390" s="3" t="str">
        <f>"201511005631"</f>
        <v>201511005631</v>
      </c>
    </row>
    <row r="15391" spans="1:2" x14ac:dyDescent="0.25">
      <c r="A15391" s="4">
        <v>15386</v>
      </c>
      <c r="B15391" s="3" t="str">
        <f>"201511005642"</f>
        <v>201511005642</v>
      </c>
    </row>
    <row r="15392" spans="1:2" x14ac:dyDescent="0.25">
      <c r="A15392" s="4">
        <v>15387</v>
      </c>
      <c r="B15392" s="3" t="str">
        <f>"201511005687"</f>
        <v>201511005687</v>
      </c>
    </row>
    <row r="15393" spans="1:2" x14ac:dyDescent="0.25">
      <c r="A15393" s="4">
        <v>15388</v>
      </c>
      <c r="B15393" s="3" t="str">
        <f>"201511005707"</f>
        <v>201511005707</v>
      </c>
    </row>
    <row r="15394" spans="1:2" x14ac:dyDescent="0.25">
      <c r="A15394" s="4">
        <v>15389</v>
      </c>
      <c r="B15394" s="3" t="str">
        <f>"201511005709"</f>
        <v>201511005709</v>
      </c>
    </row>
    <row r="15395" spans="1:2" x14ac:dyDescent="0.25">
      <c r="A15395" s="4">
        <v>15390</v>
      </c>
      <c r="B15395" s="3" t="str">
        <f>"201511005720"</f>
        <v>201511005720</v>
      </c>
    </row>
    <row r="15396" spans="1:2" x14ac:dyDescent="0.25">
      <c r="A15396" s="4">
        <v>15391</v>
      </c>
      <c r="B15396" s="3" t="str">
        <f>"201511005755"</f>
        <v>201511005755</v>
      </c>
    </row>
    <row r="15397" spans="1:2" x14ac:dyDescent="0.25">
      <c r="A15397" s="4">
        <v>15392</v>
      </c>
      <c r="B15397" s="3" t="str">
        <f>"201511005760"</f>
        <v>201511005760</v>
      </c>
    </row>
    <row r="15398" spans="1:2" x14ac:dyDescent="0.25">
      <c r="A15398" s="4">
        <v>15393</v>
      </c>
      <c r="B15398" s="3" t="str">
        <f>"201511005767"</f>
        <v>201511005767</v>
      </c>
    </row>
    <row r="15399" spans="1:2" x14ac:dyDescent="0.25">
      <c r="A15399" s="4">
        <v>15394</v>
      </c>
      <c r="B15399" s="3" t="str">
        <f>"201511005824"</f>
        <v>201511005824</v>
      </c>
    </row>
    <row r="15400" spans="1:2" x14ac:dyDescent="0.25">
      <c r="A15400" s="4">
        <v>15395</v>
      </c>
      <c r="B15400" s="3" t="str">
        <f>"201511005836"</f>
        <v>201511005836</v>
      </c>
    </row>
    <row r="15401" spans="1:2" x14ac:dyDescent="0.25">
      <c r="A15401" s="4">
        <v>15396</v>
      </c>
      <c r="B15401" s="3" t="str">
        <f>"201511005869"</f>
        <v>201511005869</v>
      </c>
    </row>
    <row r="15402" spans="1:2" x14ac:dyDescent="0.25">
      <c r="A15402" s="4">
        <v>15397</v>
      </c>
      <c r="B15402" s="3" t="str">
        <f>"201511005922"</f>
        <v>201511005922</v>
      </c>
    </row>
    <row r="15403" spans="1:2" x14ac:dyDescent="0.25">
      <c r="A15403" s="4">
        <v>15398</v>
      </c>
      <c r="B15403" s="3" t="str">
        <f>"201511005931"</f>
        <v>201511005931</v>
      </c>
    </row>
    <row r="15404" spans="1:2" x14ac:dyDescent="0.25">
      <c r="A15404" s="4">
        <v>15399</v>
      </c>
      <c r="B15404" s="3" t="str">
        <f>"201511005944"</f>
        <v>201511005944</v>
      </c>
    </row>
    <row r="15405" spans="1:2" x14ac:dyDescent="0.25">
      <c r="A15405" s="4">
        <v>15400</v>
      </c>
      <c r="B15405" s="3" t="str">
        <f>"201511005950"</f>
        <v>201511005950</v>
      </c>
    </row>
    <row r="15406" spans="1:2" x14ac:dyDescent="0.25">
      <c r="A15406" s="4">
        <v>15401</v>
      </c>
      <c r="B15406" s="3" t="str">
        <f>"201511005957"</f>
        <v>201511005957</v>
      </c>
    </row>
    <row r="15407" spans="1:2" x14ac:dyDescent="0.25">
      <c r="A15407" s="4">
        <v>15402</v>
      </c>
      <c r="B15407" s="3" t="str">
        <f>"201511005975"</f>
        <v>201511005975</v>
      </c>
    </row>
    <row r="15408" spans="1:2" x14ac:dyDescent="0.25">
      <c r="A15408" s="4">
        <v>15403</v>
      </c>
      <c r="B15408" s="3" t="str">
        <f>"201511005991"</f>
        <v>201511005991</v>
      </c>
    </row>
    <row r="15409" spans="1:2" x14ac:dyDescent="0.25">
      <c r="A15409" s="4">
        <v>15404</v>
      </c>
      <c r="B15409" s="3" t="str">
        <f>"201511006017"</f>
        <v>201511006017</v>
      </c>
    </row>
    <row r="15410" spans="1:2" x14ac:dyDescent="0.25">
      <c r="A15410" s="4">
        <v>15405</v>
      </c>
      <c r="B15410" s="3" t="str">
        <f>"201511006035"</f>
        <v>201511006035</v>
      </c>
    </row>
    <row r="15411" spans="1:2" x14ac:dyDescent="0.25">
      <c r="A15411" s="4">
        <v>15406</v>
      </c>
      <c r="B15411" s="3" t="str">
        <f>"201511006118"</f>
        <v>201511006118</v>
      </c>
    </row>
    <row r="15412" spans="1:2" x14ac:dyDescent="0.25">
      <c r="A15412" s="4">
        <v>15407</v>
      </c>
      <c r="B15412" s="3" t="str">
        <f>"201511006122"</f>
        <v>201511006122</v>
      </c>
    </row>
    <row r="15413" spans="1:2" x14ac:dyDescent="0.25">
      <c r="A15413" s="4">
        <v>15408</v>
      </c>
      <c r="B15413" s="3" t="str">
        <f>"201511006129"</f>
        <v>201511006129</v>
      </c>
    </row>
    <row r="15414" spans="1:2" x14ac:dyDescent="0.25">
      <c r="A15414" s="4">
        <v>15409</v>
      </c>
      <c r="B15414" s="3" t="str">
        <f>"201511006132"</f>
        <v>201511006132</v>
      </c>
    </row>
    <row r="15415" spans="1:2" x14ac:dyDescent="0.25">
      <c r="A15415" s="4">
        <v>15410</v>
      </c>
      <c r="B15415" s="3" t="str">
        <f>"201511006135"</f>
        <v>201511006135</v>
      </c>
    </row>
    <row r="15416" spans="1:2" x14ac:dyDescent="0.25">
      <c r="A15416" s="4">
        <v>15411</v>
      </c>
      <c r="B15416" s="3" t="str">
        <f>"201511006165"</f>
        <v>201511006165</v>
      </c>
    </row>
    <row r="15417" spans="1:2" x14ac:dyDescent="0.25">
      <c r="A15417" s="4">
        <v>15412</v>
      </c>
      <c r="B15417" s="3" t="str">
        <f>"201511006173"</f>
        <v>201511006173</v>
      </c>
    </row>
    <row r="15418" spans="1:2" x14ac:dyDescent="0.25">
      <c r="A15418" s="4">
        <v>15413</v>
      </c>
      <c r="B15418" s="3" t="str">
        <f>"201511006247"</f>
        <v>201511006247</v>
      </c>
    </row>
    <row r="15419" spans="1:2" x14ac:dyDescent="0.25">
      <c r="A15419" s="4">
        <v>15414</v>
      </c>
      <c r="B15419" s="3" t="str">
        <f>"201511006252"</f>
        <v>201511006252</v>
      </c>
    </row>
    <row r="15420" spans="1:2" x14ac:dyDescent="0.25">
      <c r="A15420" s="4">
        <v>15415</v>
      </c>
      <c r="B15420" s="3" t="str">
        <f>"201511006273"</f>
        <v>201511006273</v>
      </c>
    </row>
    <row r="15421" spans="1:2" x14ac:dyDescent="0.25">
      <c r="A15421" s="4">
        <v>15416</v>
      </c>
      <c r="B15421" s="3" t="str">
        <f>"201511006327"</f>
        <v>201511006327</v>
      </c>
    </row>
    <row r="15422" spans="1:2" x14ac:dyDescent="0.25">
      <c r="A15422" s="4">
        <v>15417</v>
      </c>
      <c r="B15422" s="3" t="str">
        <f>"201511006344"</f>
        <v>201511006344</v>
      </c>
    </row>
    <row r="15423" spans="1:2" x14ac:dyDescent="0.25">
      <c r="A15423" s="4">
        <v>15418</v>
      </c>
      <c r="B15423" s="3" t="str">
        <f>"201511006366"</f>
        <v>201511006366</v>
      </c>
    </row>
    <row r="15424" spans="1:2" x14ac:dyDescent="0.25">
      <c r="A15424" s="4">
        <v>15419</v>
      </c>
      <c r="B15424" s="3" t="str">
        <f>"201511006417"</f>
        <v>201511006417</v>
      </c>
    </row>
    <row r="15425" spans="1:2" x14ac:dyDescent="0.25">
      <c r="A15425" s="4">
        <v>15420</v>
      </c>
      <c r="B15425" s="3" t="str">
        <f>"201511006432"</f>
        <v>201511006432</v>
      </c>
    </row>
    <row r="15426" spans="1:2" x14ac:dyDescent="0.25">
      <c r="A15426" s="4">
        <v>15421</v>
      </c>
      <c r="B15426" s="3" t="str">
        <f>"201511006445"</f>
        <v>201511006445</v>
      </c>
    </row>
    <row r="15427" spans="1:2" x14ac:dyDescent="0.25">
      <c r="A15427" s="4">
        <v>15422</v>
      </c>
      <c r="B15427" s="3" t="str">
        <f>"201511006457"</f>
        <v>201511006457</v>
      </c>
    </row>
    <row r="15428" spans="1:2" x14ac:dyDescent="0.25">
      <c r="A15428" s="4">
        <v>15423</v>
      </c>
      <c r="B15428" s="3" t="str">
        <f>"201511006473"</f>
        <v>201511006473</v>
      </c>
    </row>
    <row r="15429" spans="1:2" x14ac:dyDescent="0.25">
      <c r="A15429" s="4">
        <v>15424</v>
      </c>
      <c r="B15429" s="3" t="str">
        <f>"201511006515"</f>
        <v>201511006515</v>
      </c>
    </row>
    <row r="15430" spans="1:2" x14ac:dyDescent="0.25">
      <c r="A15430" s="4">
        <v>15425</v>
      </c>
      <c r="B15430" s="3" t="str">
        <f>"201511006517"</f>
        <v>201511006517</v>
      </c>
    </row>
    <row r="15431" spans="1:2" x14ac:dyDescent="0.25">
      <c r="A15431" s="4">
        <v>15426</v>
      </c>
      <c r="B15431" s="3" t="str">
        <f>"201511006519"</f>
        <v>201511006519</v>
      </c>
    </row>
    <row r="15432" spans="1:2" x14ac:dyDescent="0.25">
      <c r="A15432" s="4">
        <v>15427</v>
      </c>
      <c r="B15432" s="3" t="str">
        <f>"201511006554"</f>
        <v>201511006554</v>
      </c>
    </row>
    <row r="15433" spans="1:2" x14ac:dyDescent="0.25">
      <c r="A15433" s="4">
        <v>15428</v>
      </c>
      <c r="B15433" s="3" t="str">
        <f>"201511006559"</f>
        <v>201511006559</v>
      </c>
    </row>
    <row r="15434" spans="1:2" x14ac:dyDescent="0.25">
      <c r="A15434" s="4">
        <v>15429</v>
      </c>
      <c r="B15434" s="3" t="str">
        <f>"201511006560"</f>
        <v>201511006560</v>
      </c>
    </row>
    <row r="15435" spans="1:2" x14ac:dyDescent="0.25">
      <c r="A15435" s="4">
        <v>15430</v>
      </c>
      <c r="B15435" s="3" t="str">
        <f>"201511006586"</f>
        <v>201511006586</v>
      </c>
    </row>
    <row r="15436" spans="1:2" x14ac:dyDescent="0.25">
      <c r="A15436" s="4">
        <v>15431</v>
      </c>
      <c r="B15436" s="3" t="str">
        <f>"201511006622"</f>
        <v>201511006622</v>
      </c>
    </row>
    <row r="15437" spans="1:2" x14ac:dyDescent="0.25">
      <c r="A15437" s="4">
        <v>15432</v>
      </c>
      <c r="B15437" s="3" t="str">
        <f>"201511006641"</f>
        <v>201511006641</v>
      </c>
    </row>
    <row r="15438" spans="1:2" x14ac:dyDescent="0.25">
      <c r="A15438" s="4">
        <v>15433</v>
      </c>
      <c r="B15438" s="3" t="str">
        <f>"201511006651"</f>
        <v>201511006651</v>
      </c>
    </row>
    <row r="15439" spans="1:2" x14ac:dyDescent="0.25">
      <c r="A15439" s="4">
        <v>15434</v>
      </c>
      <c r="B15439" s="3" t="str">
        <f>"201511006659"</f>
        <v>201511006659</v>
      </c>
    </row>
    <row r="15440" spans="1:2" x14ac:dyDescent="0.25">
      <c r="A15440" s="4">
        <v>15435</v>
      </c>
      <c r="B15440" s="3" t="str">
        <f>"201511006707"</f>
        <v>201511006707</v>
      </c>
    </row>
    <row r="15441" spans="1:2" x14ac:dyDescent="0.25">
      <c r="A15441" s="4">
        <v>15436</v>
      </c>
      <c r="B15441" s="3" t="str">
        <f>"201511006708"</f>
        <v>201511006708</v>
      </c>
    </row>
    <row r="15442" spans="1:2" x14ac:dyDescent="0.25">
      <c r="A15442" s="4">
        <v>15437</v>
      </c>
      <c r="B15442" s="3" t="str">
        <f>"201511006715"</f>
        <v>201511006715</v>
      </c>
    </row>
    <row r="15443" spans="1:2" x14ac:dyDescent="0.25">
      <c r="A15443" s="4">
        <v>15438</v>
      </c>
      <c r="B15443" s="3" t="str">
        <f>"201511006738"</f>
        <v>201511006738</v>
      </c>
    </row>
    <row r="15444" spans="1:2" x14ac:dyDescent="0.25">
      <c r="A15444" s="4">
        <v>15439</v>
      </c>
      <c r="B15444" s="3" t="str">
        <f>"201511006767"</f>
        <v>201511006767</v>
      </c>
    </row>
    <row r="15445" spans="1:2" x14ac:dyDescent="0.25">
      <c r="A15445" s="4">
        <v>15440</v>
      </c>
      <c r="B15445" s="3" t="str">
        <f>"201511006785"</f>
        <v>201511006785</v>
      </c>
    </row>
    <row r="15446" spans="1:2" x14ac:dyDescent="0.25">
      <c r="A15446" s="4">
        <v>15441</v>
      </c>
      <c r="B15446" s="3" t="str">
        <f>"201511006796"</f>
        <v>201511006796</v>
      </c>
    </row>
    <row r="15447" spans="1:2" x14ac:dyDescent="0.25">
      <c r="A15447" s="4">
        <v>15442</v>
      </c>
      <c r="B15447" s="3" t="str">
        <f>"201511006798"</f>
        <v>201511006798</v>
      </c>
    </row>
    <row r="15448" spans="1:2" x14ac:dyDescent="0.25">
      <c r="A15448" s="4">
        <v>15443</v>
      </c>
      <c r="B15448" s="3" t="str">
        <f>"201511006811"</f>
        <v>201511006811</v>
      </c>
    </row>
    <row r="15449" spans="1:2" x14ac:dyDescent="0.25">
      <c r="A15449" s="4">
        <v>15444</v>
      </c>
      <c r="B15449" s="3" t="str">
        <f>"201511006831"</f>
        <v>201511006831</v>
      </c>
    </row>
    <row r="15450" spans="1:2" x14ac:dyDescent="0.25">
      <c r="A15450" s="4">
        <v>15445</v>
      </c>
      <c r="B15450" s="3" t="str">
        <f>"201511006888"</f>
        <v>201511006888</v>
      </c>
    </row>
    <row r="15451" spans="1:2" x14ac:dyDescent="0.25">
      <c r="A15451" s="4">
        <v>15446</v>
      </c>
      <c r="B15451" s="3" t="str">
        <f>"201511006889"</f>
        <v>201511006889</v>
      </c>
    </row>
    <row r="15452" spans="1:2" x14ac:dyDescent="0.25">
      <c r="A15452" s="4">
        <v>15447</v>
      </c>
      <c r="B15452" s="3" t="str">
        <f>"201511006891"</f>
        <v>201511006891</v>
      </c>
    </row>
    <row r="15453" spans="1:2" x14ac:dyDescent="0.25">
      <c r="A15453" s="4">
        <v>15448</v>
      </c>
      <c r="B15453" s="3" t="str">
        <f>"201511006894"</f>
        <v>201511006894</v>
      </c>
    </row>
    <row r="15454" spans="1:2" x14ac:dyDescent="0.25">
      <c r="A15454" s="4">
        <v>15449</v>
      </c>
      <c r="B15454" s="3" t="str">
        <f>"201511006912"</f>
        <v>201511006912</v>
      </c>
    </row>
    <row r="15455" spans="1:2" x14ac:dyDescent="0.25">
      <c r="A15455" s="4">
        <v>15450</v>
      </c>
      <c r="B15455" s="3" t="str">
        <f>"201511006913"</f>
        <v>201511006913</v>
      </c>
    </row>
    <row r="15456" spans="1:2" x14ac:dyDescent="0.25">
      <c r="A15456" s="4">
        <v>15451</v>
      </c>
      <c r="B15456" s="3" t="str">
        <f>"201511006929"</f>
        <v>201511006929</v>
      </c>
    </row>
    <row r="15457" spans="1:2" x14ac:dyDescent="0.25">
      <c r="A15457" s="4">
        <v>15452</v>
      </c>
      <c r="B15457" s="3" t="str">
        <f>"201511006965"</f>
        <v>201511006965</v>
      </c>
    </row>
    <row r="15458" spans="1:2" x14ac:dyDescent="0.25">
      <c r="A15458" s="4">
        <v>15453</v>
      </c>
      <c r="B15458" s="3" t="str">
        <f>"201511006968"</f>
        <v>201511006968</v>
      </c>
    </row>
    <row r="15459" spans="1:2" x14ac:dyDescent="0.25">
      <c r="A15459" s="4">
        <v>15454</v>
      </c>
      <c r="B15459" s="3" t="str">
        <f>"201511007017"</f>
        <v>201511007017</v>
      </c>
    </row>
    <row r="15460" spans="1:2" x14ac:dyDescent="0.25">
      <c r="A15460" s="4">
        <v>15455</v>
      </c>
      <c r="B15460" s="3" t="str">
        <f>"201511007020"</f>
        <v>201511007020</v>
      </c>
    </row>
    <row r="15461" spans="1:2" x14ac:dyDescent="0.25">
      <c r="A15461" s="4">
        <v>15456</v>
      </c>
      <c r="B15461" s="3" t="str">
        <f>"201511007057"</f>
        <v>201511007057</v>
      </c>
    </row>
    <row r="15462" spans="1:2" x14ac:dyDescent="0.25">
      <c r="A15462" s="4">
        <v>15457</v>
      </c>
      <c r="B15462" s="3" t="str">
        <f>"201511007079"</f>
        <v>201511007079</v>
      </c>
    </row>
    <row r="15463" spans="1:2" x14ac:dyDescent="0.25">
      <c r="A15463" s="4">
        <v>15458</v>
      </c>
      <c r="B15463" s="3" t="str">
        <f>"201511007081"</f>
        <v>201511007081</v>
      </c>
    </row>
    <row r="15464" spans="1:2" x14ac:dyDescent="0.25">
      <c r="A15464" s="4">
        <v>15459</v>
      </c>
      <c r="B15464" s="3" t="str">
        <f>"201511007087"</f>
        <v>201511007087</v>
      </c>
    </row>
    <row r="15465" spans="1:2" x14ac:dyDescent="0.25">
      <c r="A15465" s="4">
        <v>15460</v>
      </c>
      <c r="B15465" s="3" t="str">
        <f>"201511007105"</f>
        <v>201511007105</v>
      </c>
    </row>
    <row r="15466" spans="1:2" x14ac:dyDescent="0.25">
      <c r="A15466" s="4">
        <v>15461</v>
      </c>
      <c r="B15466" s="3" t="str">
        <f>"201511007120"</f>
        <v>201511007120</v>
      </c>
    </row>
    <row r="15467" spans="1:2" x14ac:dyDescent="0.25">
      <c r="A15467" s="4">
        <v>15462</v>
      </c>
      <c r="B15467" s="3" t="str">
        <f>"201511007131"</f>
        <v>201511007131</v>
      </c>
    </row>
    <row r="15468" spans="1:2" x14ac:dyDescent="0.25">
      <c r="A15468" s="4">
        <v>15463</v>
      </c>
      <c r="B15468" s="3" t="str">
        <f>"201511007132"</f>
        <v>201511007132</v>
      </c>
    </row>
    <row r="15469" spans="1:2" x14ac:dyDescent="0.25">
      <c r="A15469" s="4">
        <v>15464</v>
      </c>
      <c r="B15469" s="3" t="str">
        <f>"201511007134"</f>
        <v>201511007134</v>
      </c>
    </row>
    <row r="15470" spans="1:2" x14ac:dyDescent="0.25">
      <c r="A15470" s="4">
        <v>15465</v>
      </c>
      <c r="B15470" s="3" t="str">
        <f>"201511007141"</f>
        <v>201511007141</v>
      </c>
    </row>
    <row r="15471" spans="1:2" x14ac:dyDescent="0.25">
      <c r="A15471" s="4">
        <v>15466</v>
      </c>
      <c r="B15471" s="3" t="str">
        <f>"201511007143"</f>
        <v>201511007143</v>
      </c>
    </row>
    <row r="15472" spans="1:2" x14ac:dyDescent="0.25">
      <c r="A15472" s="4">
        <v>15467</v>
      </c>
      <c r="B15472" s="3" t="str">
        <f>"201511007148"</f>
        <v>201511007148</v>
      </c>
    </row>
    <row r="15473" spans="1:2" x14ac:dyDescent="0.25">
      <c r="A15473" s="4">
        <v>15468</v>
      </c>
      <c r="B15473" s="3" t="str">
        <f>"201511007190"</f>
        <v>201511007190</v>
      </c>
    </row>
    <row r="15474" spans="1:2" x14ac:dyDescent="0.25">
      <c r="A15474" s="4">
        <v>15469</v>
      </c>
      <c r="B15474" s="3" t="str">
        <f>"201511007192"</f>
        <v>201511007192</v>
      </c>
    </row>
    <row r="15475" spans="1:2" x14ac:dyDescent="0.25">
      <c r="A15475" s="4">
        <v>15470</v>
      </c>
      <c r="B15475" s="3" t="str">
        <f>"201511007224"</f>
        <v>201511007224</v>
      </c>
    </row>
    <row r="15476" spans="1:2" x14ac:dyDescent="0.25">
      <c r="A15476" s="4">
        <v>15471</v>
      </c>
      <c r="B15476" s="3" t="str">
        <f>"201511007262"</f>
        <v>201511007262</v>
      </c>
    </row>
    <row r="15477" spans="1:2" x14ac:dyDescent="0.25">
      <c r="A15477" s="4">
        <v>15472</v>
      </c>
      <c r="B15477" s="3" t="str">
        <f>"201511007265"</f>
        <v>201511007265</v>
      </c>
    </row>
    <row r="15478" spans="1:2" x14ac:dyDescent="0.25">
      <c r="A15478" s="4">
        <v>15473</v>
      </c>
      <c r="B15478" s="3" t="str">
        <f>"201511007291"</f>
        <v>201511007291</v>
      </c>
    </row>
    <row r="15479" spans="1:2" x14ac:dyDescent="0.25">
      <c r="A15479" s="4">
        <v>15474</v>
      </c>
      <c r="B15479" s="3" t="str">
        <f>"201511007306"</f>
        <v>201511007306</v>
      </c>
    </row>
    <row r="15480" spans="1:2" x14ac:dyDescent="0.25">
      <c r="A15480" s="4">
        <v>15475</v>
      </c>
      <c r="B15480" s="3" t="str">
        <f>"201511007318"</f>
        <v>201511007318</v>
      </c>
    </row>
    <row r="15481" spans="1:2" x14ac:dyDescent="0.25">
      <c r="A15481" s="4">
        <v>15476</v>
      </c>
      <c r="B15481" s="3" t="str">
        <f>"201511007331"</f>
        <v>201511007331</v>
      </c>
    </row>
    <row r="15482" spans="1:2" x14ac:dyDescent="0.25">
      <c r="A15482" s="4">
        <v>15477</v>
      </c>
      <c r="B15482" s="3" t="str">
        <f>"201511007339"</f>
        <v>201511007339</v>
      </c>
    </row>
    <row r="15483" spans="1:2" x14ac:dyDescent="0.25">
      <c r="A15483" s="4">
        <v>15478</v>
      </c>
      <c r="B15483" s="3" t="str">
        <f>"201511007350"</f>
        <v>201511007350</v>
      </c>
    </row>
    <row r="15484" spans="1:2" x14ac:dyDescent="0.25">
      <c r="A15484" s="4">
        <v>15479</v>
      </c>
      <c r="B15484" s="3" t="str">
        <f>"201511007366"</f>
        <v>201511007366</v>
      </c>
    </row>
    <row r="15485" spans="1:2" x14ac:dyDescent="0.25">
      <c r="A15485" s="4">
        <v>15480</v>
      </c>
      <c r="B15485" s="3" t="str">
        <f>"201511007386"</f>
        <v>201511007386</v>
      </c>
    </row>
    <row r="15486" spans="1:2" x14ac:dyDescent="0.25">
      <c r="A15486" s="4">
        <v>15481</v>
      </c>
      <c r="B15486" s="3" t="str">
        <f>"201511007404"</f>
        <v>201511007404</v>
      </c>
    </row>
    <row r="15487" spans="1:2" x14ac:dyDescent="0.25">
      <c r="A15487" s="4">
        <v>15482</v>
      </c>
      <c r="B15487" s="3" t="str">
        <f>"201511007418"</f>
        <v>201511007418</v>
      </c>
    </row>
    <row r="15488" spans="1:2" x14ac:dyDescent="0.25">
      <c r="A15488" s="4">
        <v>15483</v>
      </c>
      <c r="B15488" s="3" t="str">
        <f>"201511007432"</f>
        <v>201511007432</v>
      </c>
    </row>
    <row r="15489" spans="1:2" x14ac:dyDescent="0.25">
      <c r="A15489" s="4">
        <v>15484</v>
      </c>
      <c r="B15489" s="3" t="str">
        <f>"201511007438"</f>
        <v>201511007438</v>
      </c>
    </row>
    <row r="15490" spans="1:2" x14ac:dyDescent="0.25">
      <c r="A15490" s="4">
        <v>15485</v>
      </c>
      <c r="B15490" s="3" t="str">
        <f>"201511007468"</f>
        <v>201511007468</v>
      </c>
    </row>
    <row r="15491" spans="1:2" x14ac:dyDescent="0.25">
      <c r="A15491" s="4">
        <v>15486</v>
      </c>
      <c r="B15491" s="3" t="str">
        <f>"201511007478"</f>
        <v>201511007478</v>
      </c>
    </row>
    <row r="15492" spans="1:2" x14ac:dyDescent="0.25">
      <c r="A15492" s="4">
        <v>15487</v>
      </c>
      <c r="B15492" s="3" t="str">
        <f>"201511007515"</f>
        <v>201511007515</v>
      </c>
    </row>
    <row r="15493" spans="1:2" x14ac:dyDescent="0.25">
      <c r="A15493" s="4">
        <v>15488</v>
      </c>
      <c r="B15493" s="3" t="str">
        <f>"201511007518"</f>
        <v>201511007518</v>
      </c>
    </row>
    <row r="15494" spans="1:2" x14ac:dyDescent="0.25">
      <c r="A15494" s="4">
        <v>15489</v>
      </c>
      <c r="B15494" s="3" t="str">
        <f>"201511007522"</f>
        <v>201511007522</v>
      </c>
    </row>
    <row r="15495" spans="1:2" x14ac:dyDescent="0.25">
      <c r="A15495" s="4">
        <v>15490</v>
      </c>
      <c r="B15495" s="3" t="str">
        <f>"201511007567"</f>
        <v>201511007567</v>
      </c>
    </row>
    <row r="15496" spans="1:2" x14ac:dyDescent="0.25">
      <c r="A15496" s="4">
        <v>15491</v>
      </c>
      <c r="B15496" s="3" t="str">
        <f>"201511007572"</f>
        <v>201511007572</v>
      </c>
    </row>
    <row r="15497" spans="1:2" x14ac:dyDescent="0.25">
      <c r="A15497" s="4">
        <v>15492</v>
      </c>
      <c r="B15497" s="3" t="str">
        <f>"201511007573"</f>
        <v>201511007573</v>
      </c>
    </row>
    <row r="15498" spans="1:2" x14ac:dyDescent="0.25">
      <c r="A15498" s="4">
        <v>15493</v>
      </c>
      <c r="B15498" s="3" t="str">
        <f>"201511007580"</f>
        <v>201511007580</v>
      </c>
    </row>
    <row r="15499" spans="1:2" x14ac:dyDescent="0.25">
      <c r="A15499" s="4">
        <v>15494</v>
      </c>
      <c r="B15499" s="3" t="str">
        <f>"201511007585"</f>
        <v>201511007585</v>
      </c>
    </row>
    <row r="15500" spans="1:2" x14ac:dyDescent="0.25">
      <c r="A15500" s="4">
        <v>15495</v>
      </c>
      <c r="B15500" s="3" t="str">
        <f>"201511007626"</f>
        <v>201511007626</v>
      </c>
    </row>
    <row r="15501" spans="1:2" x14ac:dyDescent="0.25">
      <c r="A15501" s="4">
        <v>15496</v>
      </c>
      <c r="B15501" s="3" t="str">
        <f>"201511007642"</f>
        <v>201511007642</v>
      </c>
    </row>
    <row r="15502" spans="1:2" x14ac:dyDescent="0.25">
      <c r="A15502" s="4">
        <v>15497</v>
      </c>
      <c r="B15502" s="3" t="str">
        <f>"201511007645"</f>
        <v>201511007645</v>
      </c>
    </row>
    <row r="15503" spans="1:2" x14ac:dyDescent="0.25">
      <c r="A15503" s="4">
        <v>15498</v>
      </c>
      <c r="B15503" s="3" t="str">
        <f>"201511007652"</f>
        <v>201511007652</v>
      </c>
    </row>
    <row r="15504" spans="1:2" x14ac:dyDescent="0.25">
      <c r="A15504" s="4">
        <v>15499</v>
      </c>
      <c r="B15504" s="3" t="str">
        <f>"201511007695"</f>
        <v>201511007695</v>
      </c>
    </row>
    <row r="15505" spans="1:2" x14ac:dyDescent="0.25">
      <c r="A15505" s="4">
        <v>15500</v>
      </c>
      <c r="B15505" s="3" t="str">
        <f>"201511007696"</f>
        <v>201511007696</v>
      </c>
    </row>
    <row r="15506" spans="1:2" x14ac:dyDescent="0.25">
      <c r="A15506" s="4">
        <v>15501</v>
      </c>
      <c r="B15506" s="3" t="str">
        <f>"201511007707"</f>
        <v>201511007707</v>
      </c>
    </row>
    <row r="15507" spans="1:2" x14ac:dyDescent="0.25">
      <c r="A15507" s="4">
        <v>15502</v>
      </c>
      <c r="B15507" s="3" t="str">
        <f>"201511007711"</f>
        <v>201511007711</v>
      </c>
    </row>
    <row r="15508" spans="1:2" x14ac:dyDescent="0.25">
      <c r="A15508" s="4">
        <v>15503</v>
      </c>
      <c r="B15508" s="3" t="str">
        <f>"201511007724"</f>
        <v>201511007724</v>
      </c>
    </row>
    <row r="15509" spans="1:2" x14ac:dyDescent="0.25">
      <c r="A15509" s="4">
        <v>15504</v>
      </c>
      <c r="B15509" s="3" t="str">
        <f>"201511007746"</f>
        <v>201511007746</v>
      </c>
    </row>
    <row r="15510" spans="1:2" x14ac:dyDescent="0.25">
      <c r="A15510" s="4">
        <v>15505</v>
      </c>
      <c r="B15510" s="3" t="str">
        <f>"201511007844"</f>
        <v>201511007844</v>
      </c>
    </row>
    <row r="15511" spans="1:2" x14ac:dyDescent="0.25">
      <c r="A15511" s="4">
        <v>15506</v>
      </c>
      <c r="B15511" s="3" t="str">
        <f>"201511007868"</f>
        <v>201511007868</v>
      </c>
    </row>
    <row r="15512" spans="1:2" x14ac:dyDescent="0.25">
      <c r="A15512" s="4">
        <v>15507</v>
      </c>
      <c r="B15512" s="3" t="str">
        <f>"201511007884"</f>
        <v>201511007884</v>
      </c>
    </row>
    <row r="15513" spans="1:2" x14ac:dyDescent="0.25">
      <c r="A15513" s="4">
        <v>15508</v>
      </c>
      <c r="B15513" s="3" t="str">
        <f>"201511007889"</f>
        <v>201511007889</v>
      </c>
    </row>
    <row r="15514" spans="1:2" x14ac:dyDescent="0.25">
      <c r="A15514" s="4">
        <v>15509</v>
      </c>
      <c r="B15514" s="3" t="str">
        <f>"201511007912"</f>
        <v>201511007912</v>
      </c>
    </row>
    <row r="15515" spans="1:2" x14ac:dyDescent="0.25">
      <c r="A15515" s="4">
        <v>15510</v>
      </c>
      <c r="B15515" s="3" t="str">
        <f>"201511007915"</f>
        <v>201511007915</v>
      </c>
    </row>
    <row r="15516" spans="1:2" x14ac:dyDescent="0.25">
      <c r="A15516" s="4">
        <v>15511</v>
      </c>
      <c r="B15516" s="3" t="str">
        <f>"201511007926"</f>
        <v>201511007926</v>
      </c>
    </row>
    <row r="15517" spans="1:2" x14ac:dyDescent="0.25">
      <c r="A15517" s="4">
        <v>15512</v>
      </c>
      <c r="B15517" s="3" t="str">
        <f>"201511007931"</f>
        <v>201511007931</v>
      </c>
    </row>
    <row r="15518" spans="1:2" x14ac:dyDescent="0.25">
      <c r="A15518" s="4">
        <v>15513</v>
      </c>
      <c r="B15518" s="3" t="str">
        <f>"201511007986"</f>
        <v>201511007986</v>
      </c>
    </row>
    <row r="15519" spans="1:2" x14ac:dyDescent="0.25">
      <c r="A15519" s="4">
        <v>15514</v>
      </c>
      <c r="B15519" s="3" t="str">
        <f>"201511008076"</f>
        <v>201511008076</v>
      </c>
    </row>
    <row r="15520" spans="1:2" x14ac:dyDescent="0.25">
      <c r="A15520" s="4">
        <v>15515</v>
      </c>
      <c r="B15520" s="3" t="str">
        <f>"201511008092"</f>
        <v>201511008092</v>
      </c>
    </row>
    <row r="15521" spans="1:2" x14ac:dyDescent="0.25">
      <c r="A15521" s="4">
        <v>15516</v>
      </c>
      <c r="B15521" s="3" t="str">
        <f>"201511008100"</f>
        <v>201511008100</v>
      </c>
    </row>
    <row r="15522" spans="1:2" x14ac:dyDescent="0.25">
      <c r="A15522" s="4">
        <v>15517</v>
      </c>
      <c r="B15522" s="3" t="str">
        <f>"201511008119"</f>
        <v>201511008119</v>
      </c>
    </row>
    <row r="15523" spans="1:2" x14ac:dyDescent="0.25">
      <c r="A15523" s="4">
        <v>15518</v>
      </c>
      <c r="B15523" s="3" t="str">
        <f>"201511008153"</f>
        <v>201511008153</v>
      </c>
    </row>
    <row r="15524" spans="1:2" x14ac:dyDescent="0.25">
      <c r="A15524" s="4">
        <v>15519</v>
      </c>
      <c r="B15524" s="3" t="str">
        <f>"201511008165"</f>
        <v>201511008165</v>
      </c>
    </row>
    <row r="15525" spans="1:2" x14ac:dyDescent="0.25">
      <c r="A15525" s="4">
        <v>15520</v>
      </c>
      <c r="B15525" s="3" t="str">
        <f>"201511008168"</f>
        <v>201511008168</v>
      </c>
    </row>
    <row r="15526" spans="1:2" x14ac:dyDescent="0.25">
      <c r="A15526" s="4">
        <v>15521</v>
      </c>
      <c r="B15526" s="3" t="str">
        <f>"201511008214"</f>
        <v>201511008214</v>
      </c>
    </row>
    <row r="15527" spans="1:2" x14ac:dyDescent="0.25">
      <c r="A15527" s="4">
        <v>15522</v>
      </c>
      <c r="B15527" s="3" t="str">
        <f>"201511008278"</f>
        <v>201511008278</v>
      </c>
    </row>
    <row r="15528" spans="1:2" x14ac:dyDescent="0.25">
      <c r="A15528" s="4">
        <v>15523</v>
      </c>
      <c r="B15528" s="3" t="str">
        <f>"201511008281"</f>
        <v>201511008281</v>
      </c>
    </row>
    <row r="15529" spans="1:2" x14ac:dyDescent="0.25">
      <c r="A15529" s="4">
        <v>15524</v>
      </c>
      <c r="B15529" s="3" t="str">
        <f>"201511008293"</f>
        <v>201511008293</v>
      </c>
    </row>
    <row r="15530" spans="1:2" x14ac:dyDescent="0.25">
      <c r="A15530" s="4">
        <v>15525</v>
      </c>
      <c r="B15530" s="3" t="str">
        <f>"201511008349"</f>
        <v>201511008349</v>
      </c>
    </row>
    <row r="15531" spans="1:2" x14ac:dyDescent="0.25">
      <c r="A15531" s="4">
        <v>15526</v>
      </c>
      <c r="B15531" s="3" t="str">
        <f>"201511008351"</f>
        <v>201511008351</v>
      </c>
    </row>
    <row r="15532" spans="1:2" x14ac:dyDescent="0.25">
      <c r="A15532" s="4">
        <v>15527</v>
      </c>
      <c r="B15532" s="3" t="str">
        <f>"201511008352"</f>
        <v>201511008352</v>
      </c>
    </row>
    <row r="15533" spans="1:2" x14ac:dyDescent="0.25">
      <c r="A15533" s="4">
        <v>15528</v>
      </c>
      <c r="B15533" s="3" t="str">
        <f>"201511008424"</f>
        <v>201511008424</v>
      </c>
    </row>
    <row r="15534" spans="1:2" x14ac:dyDescent="0.25">
      <c r="A15534" s="4">
        <v>15529</v>
      </c>
      <c r="B15534" s="3" t="str">
        <f>"201511008444"</f>
        <v>201511008444</v>
      </c>
    </row>
    <row r="15535" spans="1:2" x14ac:dyDescent="0.25">
      <c r="A15535" s="4">
        <v>15530</v>
      </c>
      <c r="B15535" s="3" t="str">
        <f>"201511008479"</f>
        <v>201511008479</v>
      </c>
    </row>
    <row r="15536" spans="1:2" x14ac:dyDescent="0.25">
      <c r="A15536" s="4">
        <v>15531</v>
      </c>
      <c r="B15536" s="3" t="str">
        <f>"201511008616"</f>
        <v>201511008616</v>
      </c>
    </row>
    <row r="15537" spans="1:2" x14ac:dyDescent="0.25">
      <c r="A15537" s="4">
        <v>15532</v>
      </c>
      <c r="B15537" s="3" t="str">
        <f>"201511008618"</f>
        <v>201511008618</v>
      </c>
    </row>
    <row r="15538" spans="1:2" x14ac:dyDescent="0.25">
      <c r="A15538" s="4">
        <v>15533</v>
      </c>
      <c r="B15538" s="3" t="str">
        <f>"201511008619"</f>
        <v>201511008619</v>
      </c>
    </row>
    <row r="15539" spans="1:2" x14ac:dyDescent="0.25">
      <c r="A15539" s="4">
        <v>15534</v>
      </c>
      <c r="B15539" s="3" t="str">
        <f>"201511008658"</f>
        <v>201511008658</v>
      </c>
    </row>
    <row r="15540" spans="1:2" x14ac:dyDescent="0.25">
      <c r="A15540" s="4">
        <v>15535</v>
      </c>
      <c r="B15540" s="3" t="str">
        <f>"201511008659"</f>
        <v>201511008659</v>
      </c>
    </row>
    <row r="15541" spans="1:2" x14ac:dyDescent="0.25">
      <c r="A15541" s="4">
        <v>15536</v>
      </c>
      <c r="B15541" s="3" t="str">
        <f>"201511008685"</f>
        <v>201511008685</v>
      </c>
    </row>
    <row r="15542" spans="1:2" x14ac:dyDescent="0.25">
      <c r="A15542" s="4">
        <v>15537</v>
      </c>
      <c r="B15542" s="3" t="str">
        <f>"201511008695"</f>
        <v>201511008695</v>
      </c>
    </row>
    <row r="15543" spans="1:2" x14ac:dyDescent="0.25">
      <c r="A15543" s="4">
        <v>15538</v>
      </c>
      <c r="B15543" s="3" t="str">
        <f>"201511008696"</f>
        <v>201511008696</v>
      </c>
    </row>
    <row r="15544" spans="1:2" x14ac:dyDescent="0.25">
      <c r="A15544" s="4">
        <v>15539</v>
      </c>
      <c r="B15544" s="3" t="str">
        <f>"201511008721"</f>
        <v>201511008721</v>
      </c>
    </row>
    <row r="15545" spans="1:2" x14ac:dyDescent="0.25">
      <c r="A15545" s="4">
        <v>15540</v>
      </c>
      <c r="B15545" s="3" t="str">
        <f>"201511008805"</f>
        <v>201511008805</v>
      </c>
    </row>
    <row r="15546" spans="1:2" x14ac:dyDescent="0.25">
      <c r="A15546" s="4">
        <v>15541</v>
      </c>
      <c r="B15546" s="3" t="str">
        <f>"201511008847"</f>
        <v>201511008847</v>
      </c>
    </row>
    <row r="15547" spans="1:2" x14ac:dyDescent="0.25">
      <c r="A15547" s="4">
        <v>15542</v>
      </c>
      <c r="B15547" s="3" t="str">
        <f>"201511008868"</f>
        <v>201511008868</v>
      </c>
    </row>
    <row r="15548" spans="1:2" x14ac:dyDescent="0.25">
      <c r="A15548" s="4">
        <v>15543</v>
      </c>
      <c r="B15548" s="3" t="str">
        <f>"201511008923"</f>
        <v>201511008923</v>
      </c>
    </row>
    <row r="15549" spans="1:2" x14ac:dyDescent="0.25">
      <c r="A15549" s="4">
        <v>15544</v>
      </c>
      <c r="B15549" s="3" t="str">
        <f>"201511008933"</f>
        <v>201511008933</v>
      </c>
    </row>
    <row r="15550" spans="1:2" x14ac:dyDescent="0.25">
      <c r="A15550" s="4">
        <v>15545</v>
      </c>
      <c r="B15550" s="3" t="str">
        <f>"201511008940"</f>
        <v>201511008940</v>
      </c>
    </row>
    <row r="15551" spans="1:2" x14ac:dyDescent="0.25">
      <c r="A15551" s="4">
        <v>15546</v>
      </c>
      <c r="B15551" s="3" t="str">
        <f>"201511008993"</f>
        <v>201511008993</v>
      </c>
    </row>
    <row r="15552" spans="1:2" x14ac:dyDescent="0.25">
      <c r="A15552" s="4">
        <v>15547</v>
      </c>
      <c r="B15552" s="3" t="str">
        <f>"201511009041"</f>
        <v>201511009041</v>
      </c>
    </row>
    <row r="15553" spans="1:2" x14ac:dyDescent="0.25">
      <c r="A15553" s="4">
        <v>15548</v>
      </c>
      <c r="B15553" s="3" t="str">
        <f>"201511009064"</f>
        <v>201511009064</v>
      </c>
    </row>
    <row r="15554" spans="1:2" x14ac:dyDescent="0.25">
      <c r="A15554" s="4">
        <v>15549</v>
      </c>
      <c r="B15554" s="3" t="str">
        <f>"201511009065"</f>
        <v>201511009065</v>
      </c>
    </row>
    <row r="15555" spans="1:2" x14ac:dyDescent="0.25">
      <c r="A15555" s="4">
        <v>15550</v>
      </c>
      <c r="B15555" s="3" t="str">
        <f>"201511009098"</f>
        <v>201511009098</v>
      </c>
    </row>
    <row r="15556" spans="1:2" x14ac:dyDescent="0.25">
      <c r="A15556" s="4">
        <v>15551</v>
      </c>
      <c r="B15556" s="3" t="str">
        <f>"201511009143"</f>
        <v>201511009143</v>
      </c>
    </row>
    <row r="15557" spans="1:2" x14ac:dyDescent="0.25">
      <c r="A15557" s="4">
        <v>15552</v>
      </c>
      <c r="B15557" s="3" t="str">
        <f>"201511009150"</f>
        <v>201511009150</v>
      </c>
    </row>
    <row r="15558" spans="1:2" x14ac:dyDescent="0.25">
      <c r="A15558" s="4">
        <v>15553</v>
      </c>
      <c r="B15558" s="3" t="str">
        <f>"201511009201"</f>
        <v>201511009201</v>
      </c>
    </row>
    <row r="15559" spans="1:2" x14ac:dyDescent="0.25">
      <c r="A15559" s="4">
        <v>15554</v>
      </c>
      <c r="B15559" s="3" t="str">
        <f>"201511009225"</f>
        <v>201511009225</v>
      </c>
    </row>
    <row r="15560" spans="1:2" x14ac:dyDescent="0.25">
      <c r="A15560" s="4">
        <v>15555</v>
      </c>
      <c r="B15560" s="3" t="str">
        <f>"201511009232"</f>
        <v>201511009232</v>
      </c>
    </row>
    <row r="15561" spans="1:2" x14ac:dyDescent="0.25">
      <c r="A15561" s="4">
        <v>15556</v>
      </c>
      <c r="B15561" s="3" t="str">
        <f>"201511009237"</f>
        <v>201511009237</v>
      </c>
    </row>
    <row r="15562" spans="1:2" x14ac:dyDescent="0.25">
      <c r="A15562" s="4">
        <v>15557</v>
      </c>
      <c r="B15562" s="3" t="str">
        <f>"201511009267"</f>
        <v>201511009267</v>
      </c>
    </row>
    <row r="15563" spans="1:2" x14ac:dyDescent="0.25">
      <c r="A15563" s="4">
        <v>15558</v>
      </c>
      <c r="B15563" s="3" t="str">
        <f>"201511009278"</f>
        <v>201511009278</v>
      </c>
    </row>
    <row r="15564" spans="1:2" x14ac:dyDescent="0.25">
      <c r="A15564" s="4">
        <v>15559</v>
      </c>
      <c r="B15564" s="3" t="str">
        <f>"201511009279"</f>
        <v>201511009279</v>
      </c>
    </row>
    <row r="15565" spans="1:2" x14ac:dyDescent="0.25">
      <c r="A15565" s="4">
        <v>15560</v>
      </c>
      <c r="B15565" s="3" t="str">
        <f>"201511009303"</f>
        <v>201511009303</v>
      </c>
    </row>
    <row r="15566" spans="1:2" x14ac:dyDescent="0.25">
      <c r="A15566" s="4">
        <v>15561</v>
      </c>
      <c r="B15566" s="3" t="str">
        <f>"201511009308"</f>
        <v>201511009308</v>
      </c>
    </row>
    <row r="15567" spans="1:2" x14ac:dyDescent="0.25">
      <c r="A15567" s="4">
        <v>15562</v>
      </c>
      <c r="B15567" s="3" t="str">
        <f>"201511009343"</f>
        <v>201511009343</v>
      </c>
    </row>
    <row r="15568" spans="1:2" x14ac:dyDescent="0.25">
      <c r="A15568" s="4">
        <v>15563</v>
      </c>
      <c r="B15568" s="3" t="str">
        <f>"201511009447"</f>
        <v>201511009447</v>
      </c>
    </row>
    <row r="15569" spans="1:2" x14ac:dyDescent="0.25">
      <c r="A15569" s="4">
        <v>15564</v>
      </c>
      <c r="B15569" s="3" t="str">
        <f>"201511009452"</f>
        <v>201511009452</v>
      </c>
    </row>
    <row r="15570" spans="1:2" x14ac:dyDescent="0.25">
      <c r="A15570" s="4">
        <v>15565</v>
      </c>
      <c r="B15570" s="3" t="str">
        <f>"201511009462"</f>
        <v>201511009462</v>
      </c>
    </row>
    <row r="15571" spans="1:2" x14ac:dyDescent="0.25">
      <c r="A15571" s="4">
        <v>15566</v>
      </c>
      <c r="B15571" s="3" t="str">
        <f>"201511009469"</f>
        <v>201511009469</v>
      </c>
    </row>
    <row r="15572" spans="1:2" x14ac:dyDescent="0.25">
      <c r="A15572" s="4">
        <v>15567</v>
      </c>
      <c r="B15572" s="3" t="str">
        <f>"201511009487"</f>
        <v>201511009487</v>
      </c>
    </row>
    <row r="15573" spans="1:2" x14ac:dyDescent="0.25">
      <c r="A15573" s="4">
        <v>15568</v>
      </c>
      <c r="B15573" s="3" t="str">
        <f>"201511009488"</f>
        <v>201511009488</v>
      </c>
    </row>
    <row r="15574" spans="1:2" x14ac:dyDescent="0.25">
      <c r="A15574" s="4">
        <v>15569</v>
      </c>
      <c r="B15574" s="3" t="str">
        <f>"201511009554"</f>
        <v>201511009554</v>
      </c>
    </row>
    <row r="15575" spans="1:2" x14ac:dyDescent="0.25">
      <c r="A15575" s="4">
        <v>15570</v>
      </c>
      <c r="B15575" s="3" t="str">
        <f>"201511009555"</f>
        <v>201511009555</v>
      </c>
    </row>
    <row r="15576" spans="1:2" x14ac:dyDescent="0.25">
      <c r="A15576" s="4">
        <v>15571</v>
      </c>
      <c r="B15576" s="3" t="str">
        <f>"201511009580"</f>
        <v>201511009580</v>
      </c>
    </row>
    <row r="15577" spans="1:2" x14ac:dyDescent="0.25">
      <c r="A15577" s="4">
        <v>15572</v>
      </c>
      <c r="B15577" s="3" t="str">
        <f>"201511009583"</f>
        <v>201511009583</v>
      </c>
    </row>
    <row r="15578" spans="1:2" x14ac:dyDescent="0.25">
      <c r="A15578" s="4">
        <v>15573</v>
      </c>
      <c r="B15578" s="3" t="str">
        <f>"201511009594"</f>
        <v>201511009594</v>
      </c>
    </row>
    <row r="15579" spans="1:2" x14ac:dyDescent="0.25">
      <c r="A15579" s="4">
        <v>15574</v>
      </c>
      <c r="B15579" s="3" t="str">
        <f>"201511009613"</f>
        <v>201511009613</v>
      </c>
    </row>
    <row r="15580" spans="1:2" x14ac:dyDescent="0.25">
      <c r="A15580" s="4">
        <v>15575</v>
      </c>
      <c r="B15580" s="3" t="str">
        <f>"201511009674"</f>
        <v>201511009674</v>
      </c>
    </row>
    <row r="15581" spans="1:2" x14ac:dyDescent="0.25">
      <c r="A15581" s="4">
        <v>15576</v>
      </c>
      <c r="B15581" s="3" t="str">
        <f>"201511009690"</f>
        <v>201511009690</v>
      </c>
    </row>
    <row r="15582" spans="1:2" x14ac:dyDescent="0.25">
      <c r="A15582" s="4">
        <v>15577</v>
      </c>
      <c r="B15582" s="3" t="str">
        <f>"201511009696"</f>
        <v>201511009696</v>
      </c>
    </row>
    <row r="15583" spans="1:2" x14ac:dyDescent="0.25">
      <c r="A15583" s="4">
        <v>15578</v>
      </c>
      <c r="B15583" s="3" t="str">
        <f>"201511009721"</f>
        <v>201511009721</v>
      </c>
    </row>
    <row r="15584" spans="1:2" x14ac:dyDescent="0.25">
      <c r="A15584" s="4">
        <v>15579</v>
      </c>
      <c r="B15584" s="3" t="str">
        <f>"201511009734"</f>
        <v>201511009734</v>
      </c>
    </row>
    <row r="15585" spans="1:2" x14ac:dyDescent="0.25">
      <c r="A15585" s="4">
        <v>15580</v>
      </c>
      <c r="B15585" s="3" t="str">
        <f>"201511009751"</f>
        <v>201511009751</v>
      </c>
    </row>
    <row r="15586" spans="1:2" x14ac:dyDescent="0.25">
      <c r="A15586" s="4">
        <v>15581</v>
      </c>
      <c r="B15586" s="3" t="str">
        <f>"201511009772"</f>
        <v>201511009772</v>
      </c>
    </row>
    <row r="15587" spans="1:2" x14ac:dyDescent="0.25">
      <c r="A15587" s="4">
        <v>15582</v>
      </c>
      <c r="B15587" s="3" t="str">
        <f>"201511009773"</f>
        <v>201511009773</v>
      </c>
    </row>
    <row r="15588" spans="1:2" x14ac:dyDescent="0.25">
      <c r="A15588" s="4">
        <v>15583</v>
      </c>
      <c r="B15588" s="3" t="str">
        <f>"201511009789"</f>
        <v>201511009789</v>
      </c>
    </row>
    <row r="15589" spans="1:2" x14ac:dyDescent="0.25">
      <c r="A15589" s="4">
        <v>15584</v>
      </c>
      <c r="B15589" s="3" t="str">
        <f>"201511009795"</f>
        <v>201511009795</v>
      </c>
    </row>
    <row r="15590" spans="1:2" x14ac:dyDescent="0.25">
      <c r="A15590" s="4">
        <v>15585</v>
      </c>
      <c r="B15590" s="3" t="str">
        <f>"201511009815"</f>
        <v>201511009815</v>
      </c>
    </row>
    <row r="15591" spans="1:2" x14ac:dyDescent="0.25">
      <c r="A15591" s="4">
        <v>15586</v>
      </c>
      <c r="B15591" s="3" t="str">
        <f>"201511009839"</f>
        <v>201511009839</v>
      </c>
    </row>
    <row r="15592" spans="1:2" x14ac:dyDescent="0.25">
      <c r="A15592" s="4">
        <v>15587</v>
      </c>
      <c r="B15592" s="3" t="str">
        <f>"201511009841"</f>
        <v>201511009841</v>
      </c>
    </row>
    <row r="15593" spans="1:2" x14ac:dyDescent="0.25">
      <c r="A15593" s="4">
        <v>15588</v>
      </c>
      <c r="B15593" s="3" t="str">
        <f>"201511009855"</f>
        <v>201511009855</v>
      </c>
    </row>
    <row r="15594" spans="1:2" x14ac:dyDescent="0.25">
      <c r="A15594" s="4">
        <v>15589</v>
      </c>
      <c r="B15594" s="3" t="str">
        <f>"201511009859"</f>
        <v>201511009859</v>
      </c>
    </row>
    <row r="15595" spans="1:2" x14ac:dyDescent="0.25">
      <c r="A15595" s="4">
        <v>15590</v>
      </c>
      <c r="B15595" s="3" t="str">
        <f>"201511009871"</f>
        <v>201511009871</v>
      </c>
    </row>
    <row r="15596" spans="1:2" x14ac:dyDescent="0.25">
      <c r="A15596" s="4">
        <v>15591</v>
      </c>
      <c r="B15596" s="3" t="str">
        <f>"201511009883"</f>
        <v>201511009883</v>
      </c>
    </row>
    <row r="15597" spans="1:2" x14ac:dyDescent="0.25">
      <c r="A15597" s="4">
        <v>15592</v>
      </c>
      <c r="B15597" s="3" t="str">
        <f>"201511009904"</f>
        <v>201511009904</v>
      </c>
    </row>
    <row r="15598" spans="1:2" x14ac:dyDescent="0.25">
      <c r="A15598" s="4">
        <v>15593</v>
      </c>
      <c r="B15598" s="3" t="str">
        <f>"201511009925"</f>
        <v>201511009925</v>
      </c>
    </row>
    <row r="15599" spans="1:2" x14ac:dyDescent="0.25">
      <c r="A15599" s="4">
        <v>15594</v>
      </c>
      <c r="B15599" s="3" t="str">
        <f>"201511009965"</f>
        <v>201511009965</v>
      </c>
    </row>
    <row r="15600" spans="1:2" x14ac:dyDescent="0.25">
      <c r="A15600" s="4">
        <v>15595</v>
      </c>
      <c r="B15600" s="3" t="str">
        <f>"201511009976"</f>
        <v>201511009976</v>
      </c>
    </row>
    <row r="15601" spans="1:2" x14ac:dyDescent="0.25">
      <c r="A15601" s="4">
        <v>15596</v>
      </c>
      <c r="B15601" s="3" t="str">
        <f>"201511009993"</f>
        <v>201511009993</v>
      </c>
    </row>
    <row r="15602" spans="1:2" x14ac:dyDescent="0.25">
      <c r="A15602" s="4">
        <v>15597</v>
      </c>
      <c r="B15602" s="3" t="str">
        <f>"201511010016"</f>
        <v>201511010016</v>
      </c>
    </row>
    <row r="15603" spans="1:2" x14ac:dyDescent="0.25">
      <c r="A15603" s="4">
        <v>15598</v>
      </c>
      <c r="B15603" s="3" t="str">
        <f>"201511010024"</f>
        <v>201511010024</v>
      </c>
    </row>
    <row r="15604" spans="1:2" x14ac:dyDescent="0.25">
      <c r="A15604" s="4">
        <v>15599</v>
      </c>
      <c r="B15604" s="3" t="str">
        <f>"201511010032"</f>
        <v>201511010032</v>
      </c>
    </row>
    <row r="15605" spans="1:2" x14ac:dyDescent="0.25">
      <c r="A15605" s="4">
        <v>15600</v>
      </c>
      <c r="B15605" s="3" t="str">
        <f>"201511010052"</f>
        <v>201511010052</v>
      </c>
    </row>
    <row r="15606" spans="1:2" x14ac:dyDescent="0.25">
      <c r="A15606" s="4">
        <v>15601</v>
      </c>
      <c r="B15606" s="3" t="str">
        <f>"201511010104"</f>
        <v>201511010104</v>
      </c>
    </row>
    <row r="15607" spans="1:2" x14ac:dyDescent="0.25">
      <c r="A15607" s="4">
        <v>15602</v>
      </c>
      <c r="B15607" s="3" t="str">
        <f>"201511010110"</f>
        <v>201511010110</v>
      </c>
    </row>
    <row r="15608" spans="1:2" x14ac:dyDescent="0.25">
      <c r="A15608" s="4">
        <v>15603</v>
      </c>
      <c r="B15608" s="3" t="str">
        <f>"201511010164"</f>
        <v>201511010164</v>
      </c>
    </row>
    <row r="15609" spans="1:2" x14ac:dyDescent="0.25">
      <c r="A15609" s="4">
        <v>15604</v>
      </c>
      <c r="B15609" s="3" t="str">
        <f>"201511010173"</f>
        <v>201511010173</v>
      </c>
    </row>
    <row r="15610" spans="1:2" x14ac:dyDescent="0.25">
      <c r="A15610" s="4">
        <v>15605</v>
      </c>
      <c r="B15610" s="3" t="str">
        <f>"201511010186"</f>
        <v>201511010186</v>
      </c>
    </row>
    <row r="15611" spans="1:2" x14ac:dyDescent="0.25">
      <c r="A15611" s="4">
        <v>15606</v>
      </c>
      <c r="B15611" s="3" t="str">
        <f>"201511010190"</f>
        <v>201511010190</v>
      </c>
    </row>
    <row r="15612" spans="1:2" x14ac:dyDescent="0.25">
      <c r="A15612" s="4">
        <v>15607</v>
      </c>
      <c r="B15612" s="3" t="str">
        <f>"201511010200"</f>
        <v>201511010200</v>
      </c>
    </row>
    <row r="15613" spans="1:2" x14ac:dyDescent="0.25">
      <c r="A15613" s="4">
        <v>15608</v>
      </c>
      <c r="B15613" s="3" t="str">
        <f>"201511010215"</f>
        <v>201511010215</v>
      </c>
    </row>
    <row r="15614" spans="1:2" x14ac:dyDescent="0.25">
      <c r="A15614" s="4">
        <v>15609</v>
      </c>
      <c r="B15614" s="3" t="str">
        <f>"201511010224"</f>
        <v>201511010224</v>
      </c>
    </row>
    <row r="15615" spans="1:2" x14ac:dyDescent="0.25">
      <c r="A15615" s="4">
        <v>15610</v>
      </c>
      <c r="B15615" s="3" t="str">
        <f>"201511010231"</f>
        <v>201511010231</v>
      </c>
    </row>
    <row r="15616" spans="1:2" x14ac:dyDescent="0.25">
      <c r="A15616" s="4">
        <v>15611</v>
      </c>
      <c r="B15616" s="3" t="str">
        <f>"201511010236"</f>
        <v>201511010236</v>
      </c>
    </row>
    <row r="15617" spans="1:2" x14ac:dyDescent="0.25">
      <c r="A15617" s="4">
        <v>15612</v>
      </c>
      <c r="B15617" s="3" t="str">
        <f>"201511010243"</f>
        <v>201511010243</v>
      </c>
    </row>
    <row r="15618" spans="1:2" x14ac:dyDescent="0.25">
      <c r="A15618" s="4">
        <v>15613</v>
      </c>
      <c r="B15618" s="3" t="str">
        <f>"201511010255"</f>
        <v>201511010255</v>
      </c>
    </row>
    <row r="15619" spans="1:2" x14ac:dyDescent="0.25">
      <c r="A15619" s="4">
        <v>15614</v>
      </c>
      <c r="B15619" s="3" t="str">
        <f>"201511010259"</f>
        <v>201511010259</v>
      </c>
    </row>
    <row r="15620" spans="1:2" x14ac:dyDescent="0.25">
      <c r="A15620" s="4">
        <v>15615</v>
      </c>
      <c r="B15620" s="3" t="str">
        <f>"201511010279"</f>
        <v>201511010279</v>
      </c>
    </row>
    <row r="15621" spans="1:2" x14ac:dyDescent="0.25">
      <c r="A15621" s="4">
        <v>15616</v>
      </c>
      <c r="B15621" s="3" t="str">
        <f>"201511010284"</f>
        <v>201511010284</v>
      </c>
    </row>
    <row r="15622" spans="1:2" x14ac:dyDescent="0.25">
      <c r="A15622" s="4">
        <v>15617</v>
      </c>
      <c r="B15622" s="3" t="str">
        <f>"201511010317"</f>
        <v>201511010317</v>
      </c>
    </row>
    <row r="15623" spans="1:2" x14ac:dyDescent="0.25">
      <c r="A15623" s="4">
        <v>15618</v>
      </c>
      <c r="B15623" s="3" t="str">
        <f>"201511010325"</f>
        <v>201511010325</v>
      </c>
    </row>
    <row r="15624" spans="1:2" x14ac:dyDescent="0.25">
      <c r="A15624" s="4">
        <v>15619</v>
      </c>
      <c r="B15624" s="3" t="str">
        <f>"201511010328"</f>
        <v>201511010328</v>
      </c>
    </row>
    <row r="15625" spans="1:2" x14ac:dyDescent="0.25">
      <c r="A15625" s="4">
        <v>15620</v>
      </c>
      <c r="B15625" s="3" t="str">
        <f>"201511010348"</f>
        <v>201511010348</v>
      </c>
    </row>
    <row r="15626" spans="1:2" x14ac:dyDescent="0.25">
      <c r="A15626" s="4">
        <v>15621</v>
      </c>
      <c r="B15626" s="3" t="str">
        <f>"201511010371"</f>
        <v>201511010371</v>
      </c>
    </row>
    <row r="15627" spans="1:2" x14ac:dyDescent="0.25">
      <c r="A15627" s="4">
        <v>15622</v>
      </c>
      <c r="B15627" s="3" t="str">
        <f>"201511010379"</f>
        <v>201511010379</v>
      </c>
    </row>
    <row r="15628" spans="1:2" x14ac:dyDescent="0.25">
      <c r="A15628" s="4">
        <v>15623</v>
      </c>
      <c r="B15628" s="3" t="str">
        <f>"201511010390"</f>
        <v>201511010390</v>
      </c>
    </row>
    <row r="15629" spans="1:2" x14ac:dyDescent="0.25">
      <c r="A15629" s="4">
        <v>15624</v>
      </c>
      <c r="B15629" s="3" t="str">
        <f>"201511010449"</f>
        <v>201511010449</v>
      </c>
    </row>
    <row r="15630" spans="1:2" x14ac:dyDescent="0.25">
      <c r="A15630" s="4">
        <v>15625</v>
      </c>
      <c r="B15630" s="3" t="str">
        <f>"201511010466"</f>
        <v>201511010466</v>
      </c>
    </row>
    <row r="15631" spans="1:2" x14ac:dyDescent="0.25">
      <c r="A15631" s="4">
        <v>15626</v>
      </c>
      <c r="B15631" s="3" t="str">
        <f>"201511010477"</f>
        <v>201511010477</v>
      </c>
    </row>
    <row r="15632" spans="1:2" x14ac:dyDescent="0.25">
      <c r="A15632" s="4">
        <v>15627</v>
      </c>
      <c r="B15632" s="3" t="str">
        <f>"201511010490"</f>
        <v>201511010490</v>
      </c>
    </row>
    <row r="15633" spans="1:2" x14ac:dyDescent="0.25">
      <c r="A15633" s="4">
        <v>15628</v>
      </c>
      <c r="B15633" s="3" t="str">
        <f>"201511010498"</f>
        <v>201511010498</v>
      </c>
    </row>
    <row r="15634" spans="1:2" x14ac:dyDescent="0.25">
      <c r="A15634" s="4">
        <v>15629</v>
      </c>
      <c r="B15634" s="3" t="str">
        <f>"201511010500"</f>
        <v>201511010500</v>
      </c>
    </row>
    <row r="15635" spans="1:2" x14ac:dyDescent="0.25">
      <c r="A15635" s="4">
        <v>15630</v>
      </c>
      <c r="B15635" s="3" t="str">
        <f>"201511010530"</f>
        <v>201511010530</v>
      </c>
    </row>
    <row r="15636" spans="1:2" x14ac:dyDescent="0.25">
      <c r="A15636" s="4">
        <v>15631</v>
      </c>
      <c r="B15636" s="3" t="str">
        <f>"201511010559"</f>
        <v>201511010559</v>
      </c>
    </row>
    <row r="15637" spans="1:2" x14ac:dyDescent="0.25">
      <c r="A15637" s="4">
        <v>15632</v>
      </c>
      <c r="B15637" s="3" t="str">
        <f>"201511010562"</f>
        <v>201511010562</v>
      </c>
    </row>
    <row r="15638" spans="1:2" x14ac:dyDescent="0.25">
      <c r="A15638" s="4">
        <v>15633</v>
      </c>
      <c r="B15638" s="3" t="str">
        <f>"201511010650"</f>
        <v>201511010650</v>
      </c>
    </row>
    <row r="15639" spans="1:2" x14ac:dyDescent="0.25">
      <c r="A15639" s="4">
        <v>15634</v>
      </c>
      <c r="B15639" s="3" t="str">
        <f>"201511010656"</f>
        <v>201511010656</v>
      </c>
    </row>
    <row r="15640" spans="1:2" x14ac:dyDescent="0.25">
      <c r="A15640" s="4">
        <v>15635</v>
      </c>
      <c r="B15640" s="3" t="str">
        <f>"201511010671"</f>
        <v>201511010671</v>
      </c>
    </row>
    <row r="15641" spans="1:2" x14ac:dyDescent="0.25">
      <c r="A15641" s="4">
        <v>15636</v>
      </c>
      <c r="B15641" s="3" t="str">
        <f>"201511010672"</f>
        <v>201511010672</v>
      </c>
    </row>
    <row r="15642" spans="1:2" x14ac:dyDescent="0.25">
      <c r="A15642" s="4">
        <v>15637</v>
      </c>
      <c r="B15642" s="3" t="str">
        <f>"201511010695"</f>
        <v>201511010695</v>
      </c>
    </row>
    <row r="15643" spans="1:2" x14ac:dyDescent="0.25">
      <c r="A15643" s="4">
        <v>15638</v>
      </c>
      <c r="B15643" s="3" t="str">
        <f>"201511010699"</f>
        <v>201511010699</v>
      </c>
    </row>
    <row r="15644" spans="1:2" x14ac:dyDescent="0.25">
      <c r="A15644" s="4">
        <v>15639</v>
      </c>
      <c r="B15644" s="3" t="str">
        <f>"201511010701"</f>
        <v>201511010701</v>
      </c>
    </row>
    <row r="15645" spans="1:2" x14ac:dyDescent="0.25">
      <c r="A15645" s="4">
        <v>15640</v>
      </c>
      <c r="B15645" s="3" t="str">
        <f>"201511010714"</f>
        <v>201511010714</v>
      </c>
    </row>
    <row r="15646" spans="1:2" x14ac:dyDescent="0.25">
      <c r="A15646" s="4">
        <v>15641</v>
      </c>
      <c r="B15646" s="3" t="str">
        <f>"201511010720"</f>
        <v>201511010720</v>
      </c>
    </row>
    <row r="15647" spans="1:2" x14ac:dyDescent="0.25">
      <c r="A15647" s="4">
        <v>15642</v>
      </c>
      <c r="B15647" s="3" t="str">
        <f>"201511010724"</f>
        <v>201511010724</v>
      </c>
    </row>
    <row r="15648" spans="1:2" x14ac:dyDescent="0.25">
      <c r="A15648" s="4">
        <v>15643</v>
      </c>
      <c r="B15648" s="3" t="str">
        <f>"201511010729"</f>
        <v>201511010729</v>
      </c>
    </row>
    <row r="15649" spans="1:2" x14ac:dyDescent="0.25">
      <c r="A15649" s="4">
        <v>15644</v>
      </c>
      <c r="B15649" s="3" t="str">
        <f>"201511010753"</f>
        <v>201511010753</v>
      </c>
    </row>
    <row r="15650" spans="1:2" x14ac:dyDescent="0.25">
      <c r="A15650" s="4">
        <v>15645</v>
      </c>
      <c r="B15650" s="3" t="str">
        <f>"201511010755"</f>
        <v>201511010755</v>
      </c>
    </row>
    <row r="15651" spans="1:2" x14ac:dyDescent="0.25">
      <c r="A15651" s="4">
        <v>15646</v>
      </c>
      <c r="B15651" s="3" t="str">
        <f>"201511010790"</f>
        <v>201511010790</v>
      </c>
    </row>
    <row r="15652" spans="1:2" x14ac:dyDescent="0.25">
      <c r="A15652" s="4">
        <v>15647</v>
      </c>
      <c r="B15652" s="3" t="str">
        <f>"201511010846"</f>
        <v>201511010846</v>
      </c>
    </row>
    <row r="15653" spans="1:2" x14ac:dyDescent="0.25">
      <c r="A15653" s="4">
        <v>15648</v>
      </c>
      <c r="B15653" s="3" t="str">
        <f>"201511010874"</f>
        <v>201511010874</v>
      </c>
    </row>
    <row r="15654" spans="1:2" x14ac:dyDescent="0.25">
      <c r="A15654" s="4">
        <v>15649</v>
      </c>
      <c r="B15654" s="3" t="str">
        <f>"201511010884"</f>
        <v>201511010884</v>
      </c>
    </row>
    <row r="15655" spans="1:2" x14ac:dyDescent="0.25">
      <c r="A15655" s="4">
        <v>15650</v>
      </c>
      <c r="B15655" s="3" t="str">
        <f>"201511010888"</f>
        <v>201511010888</v>
      </c>
    </row>
    <row r="15656" spans="1:2" x14ac:dyDescent="0.25">
      <c r="A15656" s="4">
        <v>15651</v>
      </c>
      <c r="B15656" s="3" t="str">
        <f>"201511010890"</f>
        <v>201511010890</v>
      </c>
    </row>
    <row r="15657" spans="1:2" x14ac:dyDescent="0.25">
      <c r="A15657" s="4">
        <v>15652</v>
      </c>
      <c r="B15657" s="3" t="str">
        <f>"201511010899"</f>
        <v>201511010899</v>
      </c>
    </row>
    <row r="15658" spans="1:2" x14ac:dyDescent="0.25">
      <c r="A15658" s="4">
        <v>15653</v>
      </c>
      <c r="B15658" s="3" t="str">
        <f>"201511010902"</f>
        <v>201511010902</v>
      </c>
    </row>
    <row r="15659" spans="1:2" x14ac:dyDescent="0.25">
      <c r="A15659" s="4">
        <v>15654</v>
      </c>
      <c r="B15659" s="3" t="str">
        <f>"201511010915"</f>
        <v>201511010915</v>
      </c>
    </row>
    <row r="15660" spans="1:2" x14ac:dyDescent="0.25">
      <c r="A15660" s="4">
        <v>15655</v>
      </c>
      <c r="B15660" s="3" t="str">
        <f>"201511010939"</f>
        <v>201511010939</v>
      </c>
    </row>
    <row r="15661" spans="1:2" x14ac:dyDescent="0.25">
      <c r="A15661" s="4">
        <v>15656</v>
      </c>
      <c r="B15661" s="3" t="str">
        <f>"201511010944"</f>
        <v>201511010944</v>
      </c>
    </row>
    <row r="15662" spans="1:2" x14ac:dyDescent="0.25">
      <c r="A15662" s="4">
        <v>15657</v>
      </c>
      <c r="B15662" s="3" t="str">
        <f>"201511010962"</f>
        <v>201511010962</v>
      </c>
    </row>
    <row r="15663" spans="1:2" x14ac:dyDescent="0.25">
      <c r="A15663" s="4">
        <v>15658</v>
      </c>
      <c r="B15663" s="3" t="str">
        <f>"201511010973"</f>
        <v>201511010973</v>
      </c>
    </row>
    <row r="15664" spans="1:2" x14ac:dyDescent="0.25">
      <c r="A15664" s="4">
        <v>15659</v>
      </c>
      <c r="B15664" s="3" t="str">
        <f>"201511010975"</f>
        <v>201511010975</v>
      </c>
    </row>
    <row r="15665" spans="1:2" x14ac:dyDescent="0.25">
      <c r="A15665" s="4">
        <v>15660</v>
      </c>
      <c r="B15665" s="3" t="str">
        <f>"201511011054"</f>
        <v>201511011054</v>
      </c>
    </row>
    <row r="15666" spans="1:2" x14ac:dyDescent="0.25">
      <c r="A15666" s="4">
        <v>15661</v>
      </c>
      <c r="B15666" s="3" t="str">
        <f>"201511011074"</f>
        <v>201511011074</v>
      </c>
    </row>
    <row r="15667" spans="1:2" x14ac:dyDescent="0.25">
      <c r="A15667" s="4">
        <v>15662</v>
      </c>
      <c r="B15667" s="3" t="str">
        <f>"201511011081"</f>
        <v>201511011081</v>
      </c>
    </row>
    <row r="15668" spans="1:2" x14ac:dyDescent="0.25">
      <c r="A15668" s="4">
        <v>15663</v>
      </c>
      <c r="B15668" s="3" t="str">
        <f>"201511011105"</f>
        <v>201511011105</v>
      </c>
    </row>
    <row r="15669" spans="1:2" x14ac:dyDescent="0.25">
      <c r="A15669" s="4">
        <v>15664</v>
      </c>
      <c r="B15669" s="3" t="str">
        <f>"201511011126"</f>
        <v>201511011126</v>
      </c>
    </row>
    <row r="15670" spans="1:2" x14ac:dyDescent="0.25">
      <c r="A15670" s="4">
        <v>15665</v>
      </c>
      <c r="B15670" s="3" t="str">
        <f>"201511011127"</f>
        <v>201511011127</v>
      </c>
    </row>
    <row r="15671" spans="1:2" x14ac:dyDescent="0.25">
      <c r="A15671" s="4">
        <v>15666</v>
      </c>
      <c r="B15671" s="3" t="str">
        <f>"201511011138"</f>
        <v>201511011138</v>
      </c>
    </row>
    <row r="15672" spans="1:2" x14ac:dyDescent="0.25">
      <c r="A15672" s="4">
        <v>15667</v>
      </c>
      <c r="B15672" s="3" t="str">
        <f>"201511011161"</f>
        <v>201511011161</v>
      </c>
    </row>
    <row r="15673" spans="1:2" x14ac:dyDescent="0.25">
      <c r="A15673" s="4">
        <v>15668</v>
      </c>
      <c r="B15673" s="3" t="str">
        <f>"201511011173"</f>
        <v>201511011173</v>
      </c>
    </row>
    <row r="15674" spans="1:2" x14ac:dyDescent="0.25">
      <c r="A15674" s="4">
        <v>15669</v>
      </c>
      <c r="B15674" s="3" t="str">
        <f>"201511011192"</f>
        <v>201511011192</v>
      </c>
    </row>
    <row r="15675" spans="1:2" x14ac:dyDescent="0.25">
      <c r="A15675" s="4">
        <v>15670</v>
      </c>
      <c r="B15675" s="3" t="str">
        <f>"201511011213"</f>
        <v>201511011213</v>
      </c>
    </row>
    <row r="15676" spans="1:2" x14ac:dyDescent="0.25">
      <c r="A15676" s="4">
        <v>15671</v>
      </c>
      <c r="B15676" s="3" t="str">
        <f>"201511011214"</f>
        <v>201511011214</v>
      </c>
    </row>
    <row r="15677" spans="1:2" x14ac:dyDescent="0.25">
      <c r="A15677" s="4">
        <v>15672</v>
      </c>
      <c r="B15677" s="3" t="str">
        <f>"201511011226"</f>
        <v>201511011226</v>
      </c>
    </row>
    <row r="15678" spans="1:2" x14ac:dyDescent="0.25">
      <c r="A15678" s="4">
        <v>15673</v>
      </c>
      <c r="B15678" s="3" t="str">
        <f>"201511011232"</f>
        <v>201511011232</v>
      </c>
    </row>
    <row r="15679" spans="1:2" x14ac:dyDescent="0.25">
      <c r="A15679" s="4">
        <v>15674</v>
      </c>
      <c r="B15679" s="3" t="str">
        <f>"201511011274"</f>
        <v>201511011274</v>
      </c>
    </row>
    <row r="15680" spans="1:2" x14ac:dyDescent="0.25">
      <c r="A15680" s="4">
        <v>15675</v>
      </c>
      <c r="B15680" s="3" t="str">
        <f>"201511011291"</f>
        <v>201511011291</v>
      </c>
    </row>
    <row r="15681" spans="1:2" x14ac:dyDescent="0.25">
      <c r="A15681" s="4">
        <v>15676</v>
      </c>
      <c r="B15681" s="3" t="str">
        <f>"201511011296"</f>
        <v>201511011296</v>
      </c>
    </row>
    <row r="15682" spans="1:2" x14ac:dyDescent="0.25">
      <c r="A15682" s="4">
        <v>15677</v>
      </c>
      <c r="B15682" s="3" t="str">
        <f>"201511011298"</f>
        <v>201511011298</v>
      </c>
    </row>
    <row r="15683" spans="1:2" x14ac:dyDescent="0.25">
      <c r="A15683" s="4">
        <v>15678</v>
      </c>
      <c r="B15683" s="3" t="str">
        <f>"201511011307"</f>
        <v>201511011307</v>
      </c>
    </row>
    <row r="15684" spans="1:2" x14ac:dyDescent="0.25">
      <c r="A15684" s="4">
        <v>15679</v>
      </c>
      <c r="B15684" s="3" t="str">
        <f>"201511011310"</f>
        <v>201511011310</v>
      </c>
    </row>
    <row r="15685" spans="1:2" x14ac:dyDescent="0.25">
      <c r="A15685" s="4">
        <v>15680</v>
      </c>
      <c r="B15685" s="3" t="str">
        <f>"201511011326"</f>
        <v>201511011326</v>
      </c>
    </row>
    <row r="15686" spans="1:2" x14ac:dyDescent="0.25">
      <c r="A15686" s="4">
        <v>15681</v>
      </c>
      <c r="B15686" s="3" t="str">
        <f>"201511011329"</f>
        <v>201511011329</v>
      </c>
    </row>
    <row r="15687" spans="1:2" x14ac:dyDescent="0.25">
      <c r="A15687" s="4">
        <v>15682</v>
      </c>
      <c r="B15687" s="3" t="str">
        <f>"201511011341"</f>
        <v>201511011341</v>
      </c>
    </row>
    <row r="15688" spans="1:2" x14ac:dyDescent="0.25">
      <c r="A15688" s="4">
        <v>15683</v>
      </c>
      <c r="B15688" s="3" t="str">
        <f>"201511011356"</f>
        <v>201511011356</v>
      </c>
    </row>
    <row r="15689" spans="1:2" x14ac:dyDescent="0.25">
      <c r="A15689" s="4">
        <v>15684</v>
      </c>
      <c r="B15689" s="3" t="str">
        <f>"201511011362"</f>
        <v>201511011362</v>
      </c>
    </row>
    <row r="15690" spans="1:2" x14ac:dyDescent="0.25">
      <c r="A15690" s="4">
        <v>15685</v>
      </c>
      <c r="B15690" s="3" t="str">
        <f>"201511011372"</f>
        <v>201511011372</v>
      </c>
    </row>
    <row r="15691" spans="1:2" x14ac:dyDescent="0.25">
      <c r="A15691" s="4">
        <v>15686</v>
      </c>
      <c r="B15691" s="3" t="str">
        <f>"201511011384"</f>
        <v>201511011384</v>
      </c>
    </row>
    <row r="15692" spans="1:2" x14ac:dyDescent="0.25">
      <c r="A15692" s="4">
        <v>15687</v>
      </c>
      <c r="B15692" s="3" t="str">
        <f>"201511011424"</f>
        <v>201511011424</v>
      </c>
    </row>
    <row r="15693" spans="1:2" x14ac:dyDescent="0.25">
      <c r="A15693" s="4">
        <v>15688</v>
      </c>
      <c r="B15693" s="3" t="str">
        <f>"201511011463"</f>
        <v>201511011463</v>
      </c>
    </row>
    <row r="15694" spans="1:2" x14ac:dyDescent="0.25">
      <c r="A15694" s="4">
        <v>15689</v>
      </c>
      <c r="B15694" s="3" t="str">
        <f>"201511011465"</f>
        <v>201511011465</v>
      </c>
    </row>
    <row r="15695" spans="1:2" x14ac:dyDescent="0.25">
      <c r="A15695" s="4">
        <v>15690</v>
      </c>
      <c r="B15695" s="3" t="str">
        <f>"201511011496"</f>
        <v>201511011496</v>
      </c>
    </row>
    <row r="15696" spans="1:2" x14ac:dyDescent="0.25">
      <c r="A15696" s="4">
        <v>15691</v>
      </c>
      <c r="B15696" s="3" t="str">
        <f>"201511011542"</f>
        <v>201511011542</v>
      </c>
    </row>
    <row r="15697" spans="1:2" x14ac:dyDescent="0.25">
      <c r="A15697" s="4">
        <v>15692</v>
      </c>
      <c r="B15697" s="3" t="str">
        <f>"201511011606"</f>
        <v>201511011606</v>
      </c>
    </row>
    <row r="15698" spans="1:2" x14ac:dyDescent="0.25">
      <c r="A15698" s="4">
        <v>15693</v>
      </c>
      <c r="B15698" s="3" t="str">
        <f>"201511011621"</f>
        <v>201511011621</v>
      </c>
    </row>
    <row r="15699" spans="1:2" x14ac:dyDescent="0.25">
      <c r="A15699" s="4">
        <v>15694</v>
      </c>
      <c r="B15699" s="3" t="str">
        <f>"201511011653"</f>
        <v>201511011653</v>
      </c>
    </row>
    <row r="15700" spans="1:2" x14ac:dyDescent="0.25">
      <c r="A15700" s="4">
        <v>15695</v>
      </c>
      <c r="B15700" s="3" t="str">
        <f>"201511011656"</f>
        <v>201511011656</v>
      </c>
    </row>
    <row r="15701" spans="1:2" x14ac:dyDescent="0.25">
      <c r="A15701" s="4">
        <v>15696</v>
      </c>
      <c r="B15701" s="3" t="str">
        <f>"201511011657"</f>
        <v>201511011657</v>
      </c>
    </row>
    <row r="15702" spans="1:2" x14ac:dyDescent="0.25">
      <c r="A15702" s="4">
        <v>15697</v>
      </c>
      <c r="B15702" s="3" t="str">
        <f>"201511011674"</f>
        <v>201511011674</v>
      </c>
    </row>
    <row r="15703" spans="1:2" x14ac:dyDescent="0.25">
      <c r="A15703" s="4">
        <v>15698</v>
      </c>
      <c r="B15703" s="3" t="str">
        <f>"201511011721"</f>
        <v>201511011721</v>
      </c>
    </row>
    <row r="15704" spans="1:2" x14ac:dyDescent="0.25">
      <c r="A15704" s="4">
        <v>15699</v>
      </c>
      <c r="B15704" s="3" t="str">
        <f>"201511011725"</f>
        <v>201511011725</v>
      </c>
    </row>
    <row r="15705" spans="1:2" x14ac:dyDescent="0.25">
      <c r="A15705" s="4">
        <v>15700</v>
      </c>
      <c r="B15705" s="3" t="str">
        <f>"201511011742"</f>
        <v>201511011742</v>
      </c>
    </row>
    <row r="15706" spans="1:2" x14ac:dyDescent="0.25">
      <c r="A15706" s="4">
        <v>15701</v>
      </c>
      <c r="B15706" s="3" t="str">
        <f>"201511011761"</f>
        <v>201511011761</v>
      </c>
    </row>
    <row r="15707" spans="1:2" x14ac:dyDescent="0.25">
      <c r="A15707" s="4">
        <v>15702</v>
      </c>
      <c r="B15707" s="3" t="str">
        <f>"201511011783"</f>
        <v>201511011783</v>
      </c>
    </row>
    <row r="15708" spans="1:2" x14ac:dyDescent="0.25">
      <c r="A15708" s="4">
        <v>15703</v>
      </c>
      <c r="B15708" s="3" t="str">
        <f>"201511011805"</f>
        <v>201511011805</v>
      </c>
    </row>
    <row r="15709" spans="1:2" x14ac:dyDescent="0.25">
      <c r="A15709" s="4">
        <v>15704</v>
      </c>
      <c r="B15709" s="3" t="str">
        <f>"201511011810"</f>
        <v>201511011810</v>
      </c>
    </row>
    <row r="15710" spans="1:2" x14ac:dyDescent="0.25">
      <c r="A15710" s="4">
        <v>15705</v>
      </c>
      <c r="B15710" s="3" t="str">
        <f>"201511011816"</f>
        <v>201511011816</v>
      </c>
    </row>
    <row r="15711" spans="1:2" x14ac:dyDescent="0.25">
      <c r="A15711" s="4">
        <v>15706</v>
      </c>
      <c r="B15711" s="3" t="str">
        <f>"201511011825"</f>
        <v>201511011825</v>
      </c>
    </row>
    <row r="15712" spans="1:2" x14ac:dyDescent="0.25">
      <c r="A15712" s="4">
        <v>15707</v>
      </c>
      <c r="B15712" s="3" t="str">
        <f>"201511011856"</f>
        <v>201511011856</v>
      </c>
    </row>
    <row r="15713" spans="1:2" x14ac:dyDescent="0.25">
      <c r="A15713" s="4">
        <v>15708</v>
      </c>
      <c r="B15713" s="3" t="str">
        <f>"201511011895"</f>
        <v>201511011895</v>
      </c>
    </row>
    <row r="15714" spans="1:2" x14ac:dyDescent="0.25">
      <c r="A15714" s="4">
        <v>15709</v>
      </c>
      <c r="B15714" s="3" t="str">
        <f>"201511011903"</f>
        <v>201511011903</v>
      </c>
    </row>
    <row r="15715" spans="1:2" x14ac:dyDescent="0.25">
      <c r="A15715" s="4">
        <v>15710</v>
      </c>
      <c r="B15715" s="3" t="str">
        <f>"201511011910"</f>
        <v>201511011910</v>
      </c>
    </row>
    <row r="15716" spans="1:2" x14ac:dyDescent="0.25">
      <c r="A15716" s="4">
        <v>15711</v>
      </c>
      <c r="B15716" s="3" t="str">
        <f>"201511011915"</f>
        <v>201511011915</v>
      </c>
    </row>
    <row r="15717" spans="1:2" x14ac:dyDescent="0.25">
      <c r="A15717" s="4">
        <v>15712</v>
      </c>
      <c r="B15717" s="3" t="str">
        <f>"201511011951"</f>
        <v>201511011951</v>
      </c>
    </row>
    <row r="15718" spans="1:2" x14ac:dyDescent="0.25">
      <c r="A15718" s="4">
        <v>15713</v>
      </c>
      <c r="B15718" s="3" t="str">
        <f>"201511011965"</f>
        <v>201511011965</v>
      </c>
    </row>
    <row r="15719" spans="1:2" x14ac:dyDescent="0.25">
      <c r="A15719" s="4">
        <v>15714</v>
      </c>
      <c r="B15719" s="3" t="str">
        <f>"201511012008"</f>
        <v>201511012008</v>
      </c>
    </row>
    <row r="15720" spans="1:2" x14ac:dyDescent="0.25">
      <c r="A15720" s="4">
        <v>15715</v>
      </c>
      <c r="B15720" s="3" t="str">
        <f>"201511012053"</f>
        <v>201511012053</v>
      </c>
    </row>
    <row r="15721" spans="1:2" x14ac:dyDescent="0.25">
      <c r="A15721" s="4">
        <v>15716</v>
      </c>
      <c r="B15721" s="3" t="str">
        <f>"201511012055"</f>
        <v>201511012055</v>
      </c>
    </row>
    <row r="15722" spans="1:2" x14ac:dyDescent="0.25">
      <c r="A15722" s="4">
        <v>15717</v>
      </c>
      <c r="B15722" s="3" t="str">
        <f>"201511012066"</f>
        <v>201511012066</v>
      </c>
    </row>
    <row r="15723" spans="1:2" x14ac:dyDescent="0.25">
      <c r="A15723" s="4">
        <v>15718</v>
      </c>
      <c r="B15723" s="3" t="str">
        <f>"201511012071"</f>
        <v>201511012071</v>
      </c>
    </row>
    <row r="15724" spans="1:2" x14ac:dyDescent="0.25">
      <c r="A15724" s="4">
        <v>15719</v>
      </c>
      <c r="B15724" s="3" t="str">
        <f>"201511012078"</f>
        <v>201511012078</v>
      </c>
    </row>
    <row r="15725" spans="1:2" x14ac:dyDescent="0.25">
      <c r="A15725" s="4">
        <v>15720</v>
      </c>
      <c r="B15725" s="3" t="str">
        <f>"201511012129"</f>
        <v>201511012129</v>
      </c>
    </row>
    <row r="15726" spans="1:2" x14ac:dyDescent="0.25">
      <c r="A15726" s="4">
        <v>15721</v>
      </c>
      <c r="B15726" s="3" t="str">
        <f>"201511012140"</f>
        <v>201511012140</v>
      </c>
    </row>
    <row r="15727" spans="1:2" x14ac:dyDescent="0.25">
      <c r="A15727" s="4">
        <v>15722</v>
      </c>
      <c r="B15727" s="3" t="str">
        <f>"201511012146"</f>
        <v>201511012146</v>
      </c>
    </row>
    <row r="15728" spans="1:2" x14ac:dyDescent="0.25">
      <c r="A15728" s="4">
        <v>15723</v>
      </c>
      <c r="B15728" s="3" t="str">
        <f>"201511012155"</f>
        <v>201511012155</v>
      </c>
    </row>
    <row r="15729" spans="1:2" x14ac:dyDescent="0.25">
      <c r="A15729" s="4">
        <v>15724</v>
      </c>
      <c r="B15729" s="3" t="str">
        <f>"201511012244"</f>
        <v>201511012244</v>
      </c>
    </row>
    <row r="15730" spans="1:2" x14ac:dyDescent="0.25">
      <c r="A15730" s="4">
        <v>15725</v>
      </c>
      <c r="B15730" s="3" t="str">
        <f>"201511012281"</f>
        <v>201511012281</v>
      </c>
    </row>
    <row r="15731" spans="1:2" x14ac:dyDescent="0.25">
      <c r="A15731" s="4">
        <v>15726</v>
      </c>
      <c r="B15731" s="3" t="str">
        <f>"201511012284"</f>
        <v>201511012284</v>
      </c>
    </row>
    <row r="15732" spans="1:2" x14ac:dyDescent="0.25">
      <c r="A15732" s="4">
        <v>15727</v>
      </c>
      <c r="B15732" s="3" t="str">
        <f>"201511012285"</f>
        <v>201511012285</v>
      </c>
    </row>
    <row r="15733" spans="1:2" x14ac:dyDescent="0.25">
      <c r="A15733" s="4">
        <v>15728</v>
      </c>
      <c r="B15733" s="3" t="str">
        <f>"201511012299"</f>
        <v>201511012299</v>
      </c>
    </row>
    <row r="15734" spans="1:2" x14ac:dyDescent="0.25">
      <c r="A15734" s="4">
        <v>15729</v>
      </c>
      <c r="B15734" s="3" t="str">
        <f>"201511012402"</f>
        <v>201511012402</v>
      </c>
    </row>
    <row r="15735" spans="1:2" x14ac:dyDescent="0.25">
      <c r="A15735" s="4">
        <v>15730</v>
      </c>
      <c r="B15735" s="3" t="str">
        <f>"201511012417"</f>
        <v>201511012417</v>
      </c>
    </row>
    <row r="15736" spans="1:2" x14ac:dyDescent="0.25">
      <c r="A15736" s="4">
        <v>15731</v>
      </c>
      <c r="B15736" s="3" t="str">
        <f>"201511012418"</f>
        <v>201511012418</v>
      </c>
    </row>
    <row r="15737" spans="1:2" x14ac:dyDescent="0.25">
      <c r="A15737" s="4">
        <v>15732</v>
      </c>
      <c r="B15737" s="3" t="str">
        <f>"201511012426"</f>
        <v>201511012426</v>
      </c>
    </row>
    <row r="15738" spans="1:2" x14ac:dyDescent="0.25">
      <c r="A15738" s="4">
        <v>15733</v>
      </c>
      <c r="B15738" s="3" t="str">
        <f>"201511012440"</f>
        <v>201511012440</v>
      </c>
    </row>
    <row r="15739" spans="1:2" x14ac:dyDescent="0.25">
      <c r="A15739" s="4">
        <v>15734</v>
      </c>
      <c r="B15739" s="3" t="str">
        <f>"201511012474"</f>
        <v>201511012474</v>
      </c>
    </row>
    <row r="15740" spans="1:2" x14ac:dyDescent="0.25">
      <c r="A15740" s="4">
        <v>15735</v>
      </c>
      <c r="B15740" s="3" t="str">
        <f>"201511012497"</f>
        <v>201511012497</v>
      </c>
    </row>
    <row r="15741" spans="1:2" x14ac:dyDescent="0.25">
      <c r="A15741" s="4">
        <v>15736</v>
      </c>
      <c r="B15741" s="3" t="str">
        <f>"201511012502"</f>
        <v>201511012502</v>
      </c>
    </row>
    <row r="15742" spans="1:2" x14ac:dyDescent="0.25">
      <c r="A15742" s="4">
        <v>15737</v>
      </c>
      <c r="B15742" s="3" t="str">
        <f>"201511012515"</f>
        <v>201511012515</v>
      </c>
    </row>
    <row r="15743" spans="1:2" x14ac:dyDescent="0.25">
      <c r="A15743" s="4">
        <v>15738</v>
      </c>
      <c r="B15743" s="3" t="str">
        <f>"201511012549"</f>
        <v>201511012549</v>
      </c>
    </row>
    <row r="15744" spans="1:2" x14ac:dyDescent="0.25">
      <c r="A15744" s="4">
        <v>15739</v>
      </c>
      <c r="B15744" s="3" t="str">
        <f>"201511012550"</f>
        <v>201511012550</v>
      </c>
    </row>
    <row r="15745" spans="1:2" x14ac:dyDescent="0.25">
      <c r="A15745" s="4">
        <v>15740</v>
      </c>
      <c r="B15745" s="3" t="str">
        <f>"201511012627"</f>
        <v>201511012627</v>
      </c>
    </row>
    <row r="15746" spans="1:2" x14ac:dyDescent="0.25">
      <c r="A15746" s="4">
        <v>15741</v>
      </c>
      <c r="B15746" s="3" t="str">
        <f>"201511012632"</f>
        <v>201511012632</v>
      </c>
    </row>
    <row r="15747" spans="1:2" x14ac:dyDescent="0.25">
      <c r="A15747" s="4">
        <v>15742</v>
      </c>
      <c r="B15747" s="3" t="str">
        <f>"201511012671"</f>
        <v>201511012671</v>
      </c>
    </row>
    <row r="15748" spans="1:2" x14ac:dyDescent="0.25">
      <c r="A15748" s="4">
        <v>15743</v>
      </c>
      <c r="B15748" s="3" t="str">
        <f>"201511012674"</f>
        <v>201511012674</v>
      </c>
    </row>
    <row r="15749" spans="1:2" x14ac:dyDescent="0.25">
      <c r="A15749" s="4">
        <v>15744</v>
      </c>
      <c r="B15749" s="3" t="str">
        <f>"201511012690"</f>
        <v>201511012690</v>
      </c>
    </row>
    <row r="15750" spans="1:2" x14ac:dyDescent="0.25">
      <c r="A15750" s="4">
        <v>15745</v>
      </c>
      <c r="B15750" s="3" t="str">
        <f>"201511012716"</f>
        <v>201511012716</v>
      </c>
    </row>
    <row r="15751" spans="1:2" x14ac:dyDescent="0.25">
      <c r="A15751" s="4">
        <v>15746</v>
      </c>
      <c r="B15751" s="3" t="str">
        <f>"201511012717"</f>
        <v>201511012717</v>
      </c>
    </row>
    <row r="15752" spans="1:2" x14ac:dyDescent="0.25">
      <c r="A15752" s="4">
        <v>15747</v>
      </c>
      <c r="B15752" s="3" t="str">
        <f>"201511012745"</f>
        <v>201511012745</v>
      </c>
    </row>
    <row r="15753" spans="1:2" x14ac:dyDescent="0.25">
      <c r="A15753" s="4">
        <v>15748</v>
      </c>
      <c r="B15753" s="3" t="str">
        <f>"201511012749"</f>
        <v>201511012749</v>
      </c>
    </row>
    <row r="15754" spans="1:2" x14ac:dyDescent="0.25">
      <c r="A15754" s="4">
        <v>15749</v>
      </c>
      <c r="B15754" s="3" t="str">
        <f>"201511012796"</f>
        <v>201511012796</v>
      </c>
    </row>
    <row r="15755" spans="1:2" x14ac:dyDescent="0.25">
      <c r="A15755" s="4">
        <v>15750</v>
      </c>
      <c r="B15755" s="3" t="str">
        <f>"201511012800"</f>
        <v>201511012800</v>
      </c>
    </row>
    <row r="15756" spans="1:2" x14ac:dyDescent="0.25">
      <c r="A15756" s="4">
        <v>15751</v>
      </c>
      <c r="B15756" s="3" t="str">
        <f>"201511012891"</f>
        <v>201511012891</v>
      </c>
    </row>
    <row r="15757" spans="1:2" x14ac:dyDescent="0.25">
      <c r="A15757" s="4">
        <v>15752</v>
      </c>
      <c r="B15757" s="3" t="str">
        <f>"201511012910"</f>
        <v>201511012910</v>
      </c>
    </row>
    <row r="15758" spans="1:2" x14ac:dyDescent="0.25">
      <c r="A15758" s="4">
        <v>15753</v>
      </c>
      <c r="B15758" s="3" t="str">
        <f>"201511012921"</f>
        <v>201511012921</v>
      </c>
    </row>
    <row r="15759" spans="1:2" x14ac:dyDescent="0.25">
      <c r="A15759" s="4">
        <v>15754</v>
      </c>
      <c r="B15759" s="3" t="str">
        <f>"201511012930"</f>
        <v>201511012930</v>
      </c>
    </row>
    <row r="15760" spans="1:2" x14ac:dyDescent="0.25">
      <c r="A15760" s="4">
        <v>15755</v>
      </c>
      <c r="B15760" s="3" t="str">
        <f>"201511013017"</f>
        <v>201511013017</v>
      </c>
    </row>
    <row r="15761" spans="1:2" x14ac:dyDescent="0.25">
      <c r="A15761" s="4">
        <v>15756</v>
      </c>
      <c r="B15761" s="3" t="str">
        <f>"201511013083"</f>
        <v>201511013083</v>
      </c>
    </row>
    <row r="15762" spans="1:2" x14ac:dyDescent="0.25">
      <c r="A15762" s="4">
        <v>15757</v>
      </c>
      <c r="B15762" s="3" t="str">
        <f>"201511013129"</f>
        <v>201511013129</v>
      </c>
    </row>
    <row r="15763" spans="1:2" x14ac:dyDescent="0.25">
      <c r="A15763" s="4">
        <v>15758</v>
      </c>
      <c r="B15763" s="3" t="str">
        <f>"201511013131"</f>
        <v>201511013131</v>
      </c>
    </row>
    <row r="15764" spans="1:2" x14ac:dyDescent="0.25">
      <c r="A15764" s="4">
        <v>15759</v>
      </c>
      <c r="B15764" s="3" t="str">
        <f>"201511013177"</f>
        <v>201511013177</v>
      </c>
    </row>
    <row r="15765" spans="1:2" x14ac:dyDescent="0.25">
      <c r="A15765" s="4">
        <v>15760</v>
      </c>
      <c r="B15765" s="3" t="str">
        <f>"201511013183"</f>
        <v>201511013183</v>
      </c>
    </row>
    <row r="15766" spans="1:2" x14ac:dyDescent="0.25">
      <c r="A15766" s="4">
        <v>15761</v>
      </c>
      <c r="B15766" s="3" t="str">
        <f>"201511013195"</f>
        <v>201511013195</v>
      </c>
    </row>
    <row r="15767" spans="1:2" x14ac:dyDescent="0.25">
      <c r="A15767" s="4">
        <v>15762</v>
      </c>
      <c r="B15767" s="3" t="str">
        <f>"201511013215"</f>
        <v>201511013215</v>
      </c>
    </row>
    <row r="15768" spans="1:2" x14ac:dyDescent="0.25">
      <c r="A15768" s="4">
        <v>15763</v>
      </c>
      <c r="B15768" s="3" t="str">
        <f>"201511013220"</f>
        <v>201511013220</v>
      </c>
    </row>
    <row r="15769" spans="1:2" x14ac:dyDescent="0.25">
      <c r="A15769" s="4">
        <v>15764</v>
      </c>
      <c r="B15769" s="3" t="str">
        <f>"201511013228"</f>
        <v>201511013228</v>
      </c>
    </row>
    <row r="15770" spans="1:2" x14ac:dyDescent="0.25">
      <c r="A15770" s="4">
        <v>15765</v>
      </c>
      <c r="B15770" s="3" t="str">
        <f>"201511013234"</f>
        <v>201511013234</v>
      </c>
    </row>
    <row r="15771" spans="1:2" x14ac:dyDescent="0.25">
      <c r="A15771" s="4">
        <v>15766</v>
      </c>
      <c r="B15771" s="3" t="str">
        <f>"201511013255"</f>
        <v>201511013255</v>
      </c>
    </row>
    <row r="15772" spans="1:2" x14ac:dyDescent="0.25">
      <c r="A15772" s="4">
        <v>15767</v>
      </c>
      <c r="B15772" s="3" t="str">
        <f>"201511013288"</f>
        <v>201511013288</v>
      </c>
    </row>
    <row r="15773" spans="1:2" x14ac:dyDescent="0.25">
      <c r="A15773" s="4">
        <v>15768</v>
      </c>
      <c r="B15773" s="3" t="str">
        <f>"201511013340"</f>
        <v>201511013340</v>
      </c>
    </row>
    <row r="15774" spans="1:2" x14ac:dyDescent="0.25">
      <c r="A15774" s="4">
        <v>15769</v>
      </c>
      <c r="B15774" s="3" t="str">
        <f>"201511013349"</f>
        <v>201511013349</v>
      </c>
    </row>
    <row r="15775" spans="1:2" x14ac:dyDescent="0.25">
      <c r="A15775" s="4">
        <v>15770</v>
      </c>
      <c r="B15775" s="3" t="str">
        <f>"201511013360"</f>
        <v>201511013360</v>
      </c>
    </row>
    <row r="15776" spans="1:2" x14ac:dyDescent="0.25">
      <c r="A15776" s="4">
        <v>15771</v>
      </c>
      <c r="B15776" s="3" t="str">
        <f>"201511013388"</f>
        <v>201511013388</v>
      </c>
    </row>
    <row r="15777" spans="1:2" x14ac:dyDescent="0.25">
      <c r="A15777" s="4">
        <v>15772</v>
      </c>
      <c r="B15777" s="3" t="str">
        <f>"201511013394"</f>
        <v>201511013394</v>
      </c>
    </row>
    <row r="15778" spans="1:2" x14ac:dyDescent="0.25">
      <c r="A15778" s="4">
        <v>15773</v>
      </c>
      <c r="B15778" s="3" t="str">
        <f>"201511013400"</f>
        <v>201511013400</v>
      </c>
    </row>
    <row r="15779" spans="1:2" x14ac:dyDescent="0.25">
      <c r="A15779" s="4">
        <v>15774</v>
      </c>
      <c r="B15779" s="3" t="str">
        <f>"201511013438"</f>
        <v>201511013438</v>
      </c>
    </row>
    <row r="15780" spans="1:2" x14ac:dyDescent="0.25">
      <c r="A15780" s="4">
        <v>15775</v>
      </c>
      <c r="B15780" s="3" t="str">
        <f>"201511013439"</f>
        <v>201511013439</v>
      </c>
    </row>
    <row r="15781" spans="1:2" x14ac:dyDescent="0.25">
      <c r="A15781" s="4">
        <v>15776</v>
      </c>
      <c r="B15781" s="3" t="str">
        <f>"201511013477"</f>
        <v>201511013477</v>
      </c>
    </row>
    <row r="15782" spans="1:2" x14ac:dyDescent="0.25">
      <c r="A15782" s="4">
        <v>15777</v>
      </c>
      <c r="B15782" s="3" t="str">
        <f>"201511013508"</f>
        <v>201511013508</v>
      </c>
    </row>
    <row r="15783" spans="1:2" x14ac:dyDescent="0.25">
      <c r="A15783" s="4">
        <v>15778</v>
      </c>
      <c r="B15783" s="3" t="str">
        <f>"201511013511"</f>
        <v>201511013511</v>
      </c>
    </row>
    <row r="15784" spans="1:2" x14ac:dyDescent="0.25">
      <c r="A15784" s="4">
        <v>15779</v>
      </c>
      <c r="B15784" s="3" t="str">
        <f>"201511013532"</f>
        <v>201511013532</v>
      </c>
    </row>
    <row r="15785" spans="1:2" x14ac:dyDescent="0.25">
      <c r="A15785" s="4">
        <v>15780</v>
      </c>
      <c r="B15785" s="3" t="str">
        <f>"201511013536"</f>
        <v>201511013536</v>
      </c>
    </row>
    <row r="15786" spans="1:2" x14ac:dyDescent="0.25">
      <c r="A15786" s="4">
        <v>15781</v>
      </c>
      <c r="B15786" s="3" t="str">
        <f>"201511013577"</f>
        <v>201511013577</v>
      </c>
    </row>
    <row r="15787" spans="1:2" x14ac:dyDescent="0.25">
      <c r="A15787" s="4">
        <v>15782</v>
      </c>
      <c r="B15787" s="3" t="str">
        <f>"201511013587"</f>
        <v>201511013587</v>
      </c>
    </row>
    <row r="15788" spans="1:2" x14ac:dyDescent="0.25">
      <c r="A15788" s="4">
        <v>15783</v>
      </c>
      <c r="B15788" s="3" t="str">
        <f>"201511013611"</f>
        <v>201511013611</v>
      </c>
    </row>
    <row r="15789" spans="1:2" x14ac:dyDescent="0.25">
      <c r="A15789" s="4">
        <v>15784</v>
      </c>
      <c r="B15789" s="3" t="str">
        <f>"201511013694"</f>
        <v>201511013694</v>
      </c>
    </row>
    <row r="15790" spans="1:2" x14ac:dyDescent="0.25">
      <c r="A15790" s="4">
        <v>15785</v>
      </c>
      <c r="B15790" s="3" t="str">
        <f>"201511013778"</f>
        <v>201511013778</v>
      </c>
    </row>
    <row r="15791" spans="1:2" x14ac:dyDescent="0.25">
      <c r="A15791" s="4">
        <v>15786</v>
      </c>
      <c r="B15791" s="3" t="str">
        <f>"201511013792"</f>
        <v>201511013792</v>
      </c>
    </row>
    <row r="15792" spans="1:2" x14ac:dyDescent="0.25">
      <c r="A15792" s="4">
        <v>15787</v>
      </c>
      <c r="B15792" s="3" t="str">
        <f>"201511013839"</f>
        <v>201511013839</v>
      </c>
    </row>
    <row r="15793" spans="1:2" x14ac:dyDescent="0.25">
      <c r="A15793" s="4">
        <v>15788</v>
      </c>
      <c r="B15793" s="3" t="str">
        <f>"201511013867"</f>
        <v>201511013867</v>
      </c>
    </row>
    <row r="15794" spans="1:2" x14ac:dyDescent="0.25">
      <c r="A15794" s="4">
        <v>15789</v>
      </c>
      <c r="B15794" s="3" t="str">
        <f>"201511013874"</f>
        <v>201511013874</v>
      </c>
    </row>
    <row r="15795" spans="1:2" x14ac:dyDescent="0.25">
      <c r="A15795" s="4">
        <v>15790</v>
      </c>
      <c r="B15795" s="3" t="str">
        <f>"201511013876"</f>
        <v>201511013876</v>
      </c>
    </row>
    <row r="15796" spans="1:2" x14ac:dyDescent="0.25">
      <c r="A15796" s="4">
        <v>15791</v>
      </c>
      <c r="B15796" s="3" t="str">
        <f>"201511013877"</f>
        <v>201511013877</v>
      </c>
    </row>
    <row r="15797" spans="1:2" x14ac:dyDescent="0.25">
      <c r="A15797" s="4">
        <v>15792</v>
      </c>
      <c r="B15797" s="3" t="str">
        <f>"201511013890"</f>
        <v>201511013890</v>
      </c>
    </row>
    <row r="15798" spans="1:2" x14ac:dyDescent="0.25">
      <c r="A15798" s="4">
        <v>15793</v>
      </c>
      <c r="B15798" s="3" t="str">
        <f>"201511013945"</f>
        <v>201511013945</v>
      </c>
    </row>
    <row r="15799" spans="1:2" x14ac:dyDescent="0.25">
      <c r="A15799" s="4">
        <v>15794</v>
      </c>
      <c r="B15799" s="3" t="str">
        <f>"201511013973"</f>
        <v>201511013973</v>
      </c>
    </row>
    <row r="15800" spans="1:2" x14ac:dyDescent="0.25">
      <c r="A15800" s="4">
        <v>15795</v>
      </c>
      <c r="B15800" s="3" t="str">
        <f>"201511013996"</f>
        <v>201511013996</v>
      </c>
    </row>
    <row r="15801" spans="1:2" x14ac:dyDescent="0.25">
      <c r="A15801" s="4">
        <v>15796</v>
      </c>
      <c r="B15801" s="3" t="str">
        <f>"201511014037"</f>
        <v>201511014037</v>
      </c>
    </row>
    <row r="15802" spans="1:2" x14ac:dyDescent="0.25">
      <c r="A15802" s="4">
        <v>15797</v>
      </c>
      <c r="B15802" s="3" t="str">
        <f>"201511014040"</f>
        <v>201511014040</v>
      </c>
    </row>
    <row r="15803" spans="1:2" x14ac:dyDescent="0.25">
      <c r="A15803" s="4">
        <v>15798</v>
      </c>
      <c r="B15803" s="3" t="str">
        <f>"201511014052"</f>
        <v>201511014052</v>
      </c>
    </row>
    <row r="15804" spans="1:2" x14ac:dyDescent="0.25">
      <c r="A15804" s="4">
        <v>15799</v>
      </c>
      <c r="B15804" s="3" t="str">
        <f>"201511014076"</f>
        <v>201511014076</v>
      </c>
    </row>
    <row r="15805" spans="1:2" x14ac:dyDescent="0.25">
      <c r="A15805" s="4">
        <v>15800</v>
      </c>
      <c r="B15805" s="3" t="str">
        <f>"201511014099"</f>
        <v>201511014099</v>
      </c>
    </row>
    <row r="15806" spans="1:2" x14ac:dyDescent="0.25">
      <c r="A15806" s="4">
        <v>15801</v>
      </c>
      <c r="B15806" s="3" t="str">
        <f>"201511014140"</f>
        <v>201511014140</v>
      </c>
    </row>
    <row r="15807" spans="1:2" x14ac:dyDescent="0.25">
      <c r="A15807" s="4">
        <v>15802</v>
      </c>
      <c r="B15807" s="3" t="str">
        <f>"201511014145"</f>
        <v>201511014145</v>
      </c>
    </row>
    <row r="15808" spans="1:2" x14ac:dyDescent="0.25">
      <c r="A15808" s="4">
        <v>15803</v>
      </c>
      <c r="B15808" s="3" t="str">
        <f>"201511014185"</f>
        <v>201511014185</v>
      </c>
    </row>
    <row r="15809" spans="1:2" x14ac:dyDescent="0.25">
      <c r="A15809" s="4">
        <v>15804</v>
      </c>
      <c r="B15809" s="3" t="str">
        <f>"201511014243"</f>
        <v>201511014243</v>
      </c>
    </row>
    <row r="15810" spans="1:2" x14ac:dyDescent="0.25">
      <c r="A15810" s="4">
        <v>15805</v>
      </c>
      <c r="B15810" s="3" t="str">
        <f>"201511014275"</f>
        <v>201511014275</v>
      </c>
    </row>
    <row r="15811" spans="1:2" x14ac:dyDescent="0.25">
      <c r="A15811" s="4">
        <v>15806</v>
      </c>
      <c r="B15811" s="3" t="str">
        <f>"201511014278"</f>
        <v>201511014278</v>
      </c>
    </row>
    <row r="15812" spans="1:2" x14ac:dyDescent="0.25">
      <c r="A15812" s="4">
        <v>15807</v>
      </c>
      <c r="B15812" s="3" t="str">
        <f>"201511014295"</f>
        <v>201511014295</v>
      </c>
    </row>
    <row r="15813" spans="1:2" x14ac:dyDescent="0.25">
      <c r="A15813" s="4">
        <v>15808</v>
      </c>
      <c r="B15813" s="3" t="str">
        <f>"201511014296"</f>
        <v>201511014296</v>
      </c>
    </row>
    <row r="15814" spans="1:2" x14ac:dyDescent="0.25">
      <c r="A15814" s="4">
        <v>15809</v>
      </c>
      <c r="B15814" s="3" t="str">
        <f>"201511014336"</f>
        <v>201511014336</v>
      </c>
    </row>
    <row r="15815" spans="1:2" x14ac:dyDescent="0.25">
      <c r="A15815" s="4">
        <v>15810</v>
      </c>
      <c r="B15815" s="3" t="str">
        <f>"201511014385"</f>
        <v>201511014385</v>
      </c>
    </row>
    <row r="15816" spans="1:2" x14ac:dyDescent="0.25">
      <c r="A15816" s="4">
        <v>15811</v>
      </c>
      <c r="B15816" s="3" t="str">
        <f>"201511014395"</f>
        <v>201511014395</v>
      </c>
    </row>
    <row r="15817" spans="1:2" x14ac:dyDescent="0.25">
      <c r="A15817" s="4">
        <v>15812</v>
      </c>
      <c r="B15817" s="3" t="str">
        <f>"201511014430"</f>
        <v>201511014430</v>
      </c>
    </row>
    <row r="15818" spans="1:2" x14ac:dyDescent="0.25">
      <c r="A15818" s="4">
        <v>15813</v>
      </c>
      <c r="B15818" s="3" t="str">
        <f>"201511014452"</f>
        <v>201511014452</v>
      </c>
    </row>
    <row r="15819" spans="1:2" x14ac:dyDescent="0.25">
      <c r="A15819" s="4">
        <v>15814</v>
      </c>
      <c r="B15819" s="3" t="str">
        <f>"201511014506"</f>
        <v>201511014506</v>
      </c>
    </row>
    <row r="15820" spans="1:2" x14ac:dyDescent="0.25">
      <c r="A15820" s="4">
        <v>15815</v>
      </c>
      <c r="B15820" s="3" t="str">
        <f>"201511014508"</f>
        <v>201511014508</v>
      </c>
    </row>
    <row r="15821" spans="1:2" x14ac:dyDescent="0.25">
      <c r="A15821" s="4">
        <v>15816</v>
      </c>
      <c r="B15821" s="3" t="str">
        <f>"201511014520"</f>
        <v>201511014520</v>
      </c>
    </row>
    <row r="15822" spans="1:2" x14ac:dyDescent="0.25">
      <c r="A15822" s="4">
        <v>15817</v>
      </c>
      <c r="B15822" s="3" t="str">
        <f>"201511014524"</f>
        <v>201511014524</v>
      </c>
    </row>
    <row r="15823" spans="1:2" x14ac:dyDescent="0.25">
      <c r="A15823" s="4">
        <v>15818</v>
      </c>
      <c r="B15823" s="3" t="str">
        <f>"201511014526"</f>
        <v>201511014526</v>
      </c>
    </row>
    <row r="15824" spans="1:2" x14ac:dyDescent="0.25">
      <c r="A15824" s="4">
        <v>15819</v>
      </c>
      <c r="B15824" s="3" t="str">
        <f>"201511014531"</f>
        <v>201511014531</v>
      </c>
    </row>
    <row r="15825" spans="1:2" x14ac:dyDescent="0.25">
      <c r="A15825" s="4">
        <v>15820</v>
      </c>
      <c r="B15825" s="3" t="str">
        <f>"201511014542"</f>
        <v>201511014542</v>
      </c>
    </row>
    <row r="15826" spans="1:2" x14ac:dyDescent="0.25">
      <c r="A15826" s="4">
        <v>15821</v>
      </c>
      <c r="B15826" s="3" t="str">
        <f>"201511014554"</f>
        <v>201511014554</v>
      </c>
    </row>
    <row r="15827" spans="1:2" x14ac:dyDescent="0.25">
      <c r="A15827" s="4">
        <v>15822</v>
      </c>
      <c r="B15827" s="3" t="str">
        <f>"201511014558"</f>
        <v>201511014558</v>
      </c>
    </row>
    <row r="15828" spans="1:2" x14ac:dyDescent="0.25">
      <c r="A15828" s="4">
        <v>15823</v>
      </c>
      <c r="B15828" s="3" t="str">
        <f>"201511014560"</f>
        <v>201511014560</v>
      </c>
    </row>
    <row r="15829" spans="1:2" x14ac:dyDescent="0.25">
      <c r="A15829" s="4">
        <v>15824</v>
      </c>
      <c r="B15829" s="3" t="str">
        <f>"201511014570"</f>
        <v>201511014570</v>
      </c>
    </row>
    <row r="15830" spans="1:2" x14ac:dyDescent="0.25">
      <c r="A15830" s="4">
        <v>15825</v>
      </c>
      <c r="B15830" s="3" t="str">
        <f>"201511014577"</f>
        <v>201511014577</v>
      </c>
    </row>
    <row r="15831" spans="1:2" x14ac:dyDescent="0.25">
      <c r="A15831" s="4">
        <v>15826</v>
      </c>
      <c r="B15831" s="3" t="str">
        <f>"201511014604"</f>
        <v>201511014604</v>
      </c>
    </row>
    <row r="15832" spans="1:2" x14ac:dyDescent="0.25">
      <c r="A15832" s="4">
        <v>15827</v>
      </c>
      <c r="B15832" s="3" t="str">
        <f>"201511014641"</f>
        <v>201511014641</v>
      </c>
    </row>
    <row r="15833" spans="1:2" x14ac:dyDescent="0.25">
      <c r="A15833" s="4">
        <v>15828</v>
      </c>
      <c r="B15833" s="3" t="str">
        <f>"201511014701"</f>
        <v>201511014701</v>
      </c>
    </row>
    <row r="15834" spans="1:2" x14ac:dyDescent="0.25">
      <c r="A15834" s="4">
        <v>15829</v>
      </c>
      <c r="B15834" s="3" t="str">
        <f>"201511014709"</f>
        <v>201511014709</v>
      </c>
    </row>
    <row r="15835" spans="1:2" x14ac:dyDescent="0.25">
      <c r="A15835" s="4">
        <v>15830</v>
      </c>
      <c r="B15835" s="3" t="str">
        <f>"201511014711"</f>
        <v>201511014711</v>
      </c>
    </row>
    <row r="15836" spans="1:2" x14ac:dyDescent="0.25">
      <c r="A15836" s="4">
        <v>15831</v>
      </c>
      <c r="B15836" s="3" t="str">
        <f>"201511014808"</f>
        <v>201511014808</v>
      </c>
    </row>
    <row r="15837" spans="1:2" x14ac:dyDescent="0.25">
      <c r="A15837" s="4">
        <v>15832</v>
      </c>
      <c r="B15837" s="3" t="str">
        <f>"201511014809"</f>
        <v>201511014809</v>
      </c>
    </row>
    <row r="15838" spans="1:2" x14ac:dyDescent="0.25">
      <c r="A15838" s="4">
        <v>15833</v>
      </c>
      <c r="B15838" s="3" t="str">
        <f>"201511014822"</f>
        <v>201511014822</v>
      </c>
    </row>
    <row r="15839" spans="1:2" x14ac:dyDescent="0.25">
      <c r="A15839" s="4">
        <v>15834</v>
      </c>
      <c r="B15839" s="3" t="str">
        <f>"201511014826"</f>
        <v>201511014826</v>
      </c>
    </row>
    <row r="15840" spans="1:2" x14ac:dyDescent="0.25">
      <c r="A15840" s="4">
        <v>15835</v>
      </c>
      <c r="B15840" s="3" t="str">
        <f>"201511014839"</f>
        <v>201511014839</v>
      </c>
    </row>
    <row r="15841" spans="1:2" x14ac:dyDescent="0.25">
      <c r="A15841" s="4">
        <v>15836</v>
      </c>
      <c r="B15841" s="3" t="str">
        <f>"201511014877"</f>
        <v>201511014877</v>
      </c>
    </row>
    <row r="15842" spans="1:2" x14ac:dyDescent="0.25">
      <c r="A15842" s="4">
        <v>15837</v>
      </c>
      <c r="B15842" s="3" t="str">
        <f>"201511014890"</f>
        <v>201511014890</v>
      </c>
    </row>
    <row r="15843" spans="1:2" x14ac:dyDescent="0.25">
      <c r="A15843" s="4">
        <v>15838</v>
      </c>
      <c r="B15843" s="3" t="str">
        <f>"201511014908"</f>
        <v>201511014908</v>
      </c>
    </row>
    <row r="15844" spans="1:2" x14ac:dyDescent="0.25">
      <c r="A15844" s="4">
        <v>15839</v>
      </c>
      <c r="B15844" s="3" t="str">
        <f>"201511014948"</f>
        <v>201511014948</v>
      </c>
    </row>
    <row r="15845" spans="1:2" x14ac:dyDescent="0.25">
      <c r="A15845" s="4">
        <v>15840</v>
      </c>
      <c r="B15845" s="3" t="str">
        <f>"201511014951"</f>
        <v>201511014951</v>
      </c>
    </row>
    <row r="15846" spans="1:2" x14ac:dyDescent="0.25">
      <c r="A15846" s="4">
        <v>15841</v>
      </c>
      <c r="B15846" s="3" t="str">
        <f>"201511014959"</f>
        <v>201511014959</v>
      </c>
    </row>
    <row r="15847" spans="1:2" x14ac:dyDescent="0.25">
      <c r="A15847" s="4">
        <v>15842</v>
      </c>
      <c r="B15847" s="3" t="str">
        <f>"201511015046"</f>
        <v>201511015046</v>
      </c>
    </row>
    <row r="15848" spans="1:2" x14ac:dyDescent="0.25">
      <c r="A15848" s="4">
        <v>15843</v>
      </c>
      <c r="B15848" s="3" t="str">
        <f>"201511015054"</f>
        <v>201511015054</v>
      </c>
    </row>
    <row r="15849" spans="1:2" x14ac:dyDescent="0.25">
      <c r="A15849" s="4">
        <v>15844</v>
      </c>
      <c r="B15849" s="3" t="str">
        <f>"201511015064"</f>
        <v>201511015064</v>
      </c>
    </row>
    <row r="15850" spans="1:2" x14ac:dyDescent="0.25">
      <c r="A15850" s="4">
        <v>15845</v>
      </c>
      <c r="B15850" s="3" t="str">
        <f>"201511015092"</f>
        <v>201511015092</v>
      </c>
    </row>
    <row r="15851" spans="1:2" x14ac:dyDescent="0.25">
      <c r="A15851" s="4">
        <v>15846</v>
      </c>
      <c r="B15851" s="3" t="str">
        <f>"201511015097"</f>
        <v>201511015097</v>
      </c>
    </row>
    <row r="15852" spans="1:2" x14ac:dyDescent="0.25">
      <c r="A15852" s="4">
        <v>15847</v>
      </c>
      <c r="B15852" s="3" t="str">
        <f>"201511015117"</f>
        <v>201511015117</v>
      </c>
    </row>
    <row r="15853" spans="1:2" x14ac:dyDescent="0.25">
      <c r="A15853" s="4">
        <v>15848</v>
      </c>
      <c r="B15853" s="3" t="str">
        <f>"201511015121"</f>
        <v>201511015121</v>
      </c>
    </row>
    <row r="15854" spans="1:2" x14ac:dyDescent="0.25">
      <c r="A15854" s="4">
        <v>15849</v>
      </c>
      <c r="B15854" s="3" t="str">
        <f>"201511015151"</f>
        <v>201511015151</v>
      </c>
    </row>
    <row r="15855" spans="1:2" x14ac:dyDescent="0.25">
      <c r="A15855" s="4">
        <v>15850</v>
      </c>
      <c r="B15855" s="3" t="str">
        <f>"201511015173"</f>
        <v>201511015173</v>
      </c>
    </row>
    <row r="15856" spans="1:2" x14ac:dyDescent="0.25">
      <c r="A15856" s="4">
        <v>15851</v>
      </c>
      <c r="B15856" s="3" t="str">
        <f>"201511015197"</f>
        <v>201511015197</v>
      </c>
    </row>
    <row r="15857" spans="1:2" x14ac:dyDescent="0.25">
      <c r="A15857" s="4">
        <v>15852</v>
      </c>
      <c r="B15857" s="3" t="str">
        <f>"201511015199"</f>
        <v>201511015199</v>
      </c>
    </row>
    <row r="15858" spans="1:2" x14ac:dyDescent="0.25">
      <c r="A15858" s="4">
        <v>15853</v>
      </c>
      <c r="B15858" s="3" t="str">
        <f>"201511015210"</f>
        <v>201511015210</v>
      </c>
    </row>
    <row r="15859" spans="1:2" x14ac:dyDescent="0.25">
      <c r="A15859" s="4">
        <v>15854</v>
      </c>
      <c r="B15859" s="3" t="str">
        <f>"201511015239"</f>
        <v>201511015239</v>
      </c>
    </row>
    <row r="15860" spans="1:2" x14ac:dyDescent="0.25">
      <c r="A15860" s="4">
        <v>15855</v>
      </c>
      <c r="B15860" s="3" t="str">
        <f>"201511015250"</f>
        <v>201511015250</v>
      </c>
    </row>
    <row r="15861" spans="1:2" x14ac:dyDescent="0.25">
      <c r="A15861" s="4">
        <v>15856</v>
      </c>
      <c r="B15861" s="3" t="str">
        <f>"201511015256"</f>
        <v>201511015256</v>
      </c>
    </row>
    <row r="15862" spans="1:2" x14ac:dyDescent="0.25">
      <c r="A15862" s="4">
        <v>15857</v>
      </c>
      <c r="B15862" s="3" t="str">
        <f>"201511015258"</f>
        <v>201511015258</v>
      </c>
    </row>
    <row r="15863" spans="1:2" x14ac:dyDescent="0.25">
      <c r="A15863" s="4">
        <v>15858</v>
      </c>
      <c r="B15863" s="3" t="str">
        <f>"201511015287"</f>
        <v>201511015287</v>
      </c>
    </row>
    <row r="15864" spans="1:2" x14ac:dyDescent="0.25">
      <c r="A15864" s="4">
        <v>15859</v>
      </c>
      <c r="B15864" s="3" t="str">
        <f>"201511015315"</f>
        <v>201511015315</v>
      </c>
    </row>
    <row r="15865" spans="1:2" x14ac:dyDescent="0.25">
      <c r="A15865" s="4">
        <v>15860</v>
      </c>
      <c r="B15865" s="3" t="str">
        <f>"201511015339"</f>
        <v>201511015339</v>
      </c>
    </row>
    <row r="15866" spans="1:2" x14ac:dyDescent="0.25">
      <c r="A15866" s="4">
        <v>15861</v>
      </c>
      <c r="B15866" s="3" t="str">
        <f>"201511015344"</f>
        <v>201511015344</v>
      </c>
    </row>
    <row r="15867" spans="1:2" x14ac:dyDescent="0.25">
      <c r="A15867" s="4">
        <v>15862</v>
      </c>
      <c r="B15867" s="3" t="str">
        <f>"201511015346"</f>
        <v>201511015346</v>
      </c>
    </row>
    <row r="15868" spans="1:2" x14ac:dyDescent="0.25">
      <c r="A15868" s="4">
        <v>15863</v>
      </c>
      <c r="B15868" s="3" t="str">
        <f>"201511015351"</f>
        <v>201511015351</v>
      </c>
    </row>
    <row r="15869" spans="1:2" x14ac:dyDescent="0.25">
      <c r="A15869" s="4">
        <v>15864</v>
      </c>
      <c r="B15869" s="3" t="str">
        <f>"201511015367"</f>
        <v>201511015367</v>
      </c>
    </row>
    <row r="15870" spans="1:2" x14ac:dyDescent="0.25">
      <c r="A15870" s="4">
        <v>15865</v>
      </c>
      <c r="B15870" s="3" t="str">
        <f>"201511015395"</f>
        <v>201511015395</v>
      </c>
    </row>
    <row r="15871" spans="1:2" x14ac:dyDescent="0.25">
      <c r="A15871" s="4">
        <v>15866</v>
      </c>
      <c r="B15871" s="3" t="str">
        <f>"201511015406"</f>
        <v>201511015406</v>
      </c>
    </row>
    <row r="15872" spans="1:2" x14ac:dyDescent="0.25">
      <c r="A15872" s="4">
        <v>15867</v>
      </c>
      <c r="B15872" s="3" t="str">
        <f>"201511015430"</f>
        <v>201511015430</v>
      </c>
    </row>
    <row r="15873" spans="1:2" x14ac:dyDescent="0.25">
      <c r="A15873" s="4">
        <v>15868</v>
      </c>
      <c r="B15873" s="3" t="str">
        <f>"201511015450"</f>
        <v>201511015450</v>
      </c>
    </row>
    <row r="15874" spans="1:2" x14ac:dyDescent="0.25">
      <c r="A15874" s="4">
        <v>15869</v>
      </c>
      <c r="B15874" s="3" t="str">
        <f>"201511015479"</f>
        <v>201511015479</v>
      </c>
    </row>
    <row r="15875" spans="1:2" x14ac:dyDescent="0.25">
      <c r="A15875" s="4">
        <v>15870</v>
      </c>
      <c r="B15875" s="3" t="str">
        <f>"201511015494"</f>
        <v>201511015494</v>
      </c>
    </row>
    <row r="15876" spans="1:2" x14ac:dyDescent="0.25">
      <c r="A15876" s="4">
        <v>15871</v>
      </c>
      <c r="B15876" s="3" t="str">
        <f>"201511015500"</f>
        <v>201511015500</v>
      </c>
    </row>
    <row r="15877" spans="1:2" x14ac:dyDescent="0.25">
      <c r="A15877" s="4">
        <v>15872</v>
      </c>
      <c r="B15877" s="3" t="str">
        <f>"201511015541"</f>
        <v>201511015541</v>
      </c>
    </row>
    <row r="15878" spans="1:2" x14ac:dyDescent="0.25">
      <c r="A15878" s="4">
        <v>15873</v>
      </c>
      <c r="B15878" s="3" t="str">
        <f>"201511015563"</f>
        <v>201511015563</v>
      </c>
    </row>
    <row r="15879" spans="1:2" x14ac:dyDescent="0.25">
      <c r="A15879" s="4">
        <v>15874</v>
      </c>
      <c r="B15879" s="3" t="str">
        <f>"201511015568"</f>
        <v>201511015568</v>
      </c>
    </row>
    <row r="15880" spans="1:2" x14ac:dyDescent="0.25">
      <c r="A15880" s="4">
        <v>15875</v>
      </c>
      <c r="B15880" s="3" t="str">
        <f>"201511015635"</f>
        <v>201511015635</v>
      </c>
    </row>
    <row r="15881" spans="1:2" x14ac:dyDescent="0.25">
      <c r="A15881" s="4">
        <v>15876</v>
      </c>
      <c r="B15881" s="3" t="str">
        <f>"201511015641"</f>
        <v>201511015641</v>
      </c>
    </row>
    <row r="15882" spans="1:2" x14ac:dyDescent="0.25">
      <c r="A15882" s="4">
        <v>15877</v>
      </c>
      <c r="B15882" s="3" t="str">
        <f>"201511015647"</f>
        <v>201511015647</v>
      </c>
    </row>
    <row r="15883" spans="1:2" x14ac:dyDescent="0.25">
      <c r="A15883" s="4">
        <v>15878</v>
      </c>
      <c r="B15883" s="3" t="str">
        <f>"201511015670"</f>
        <v>201511015670</v>
      </c>
    </row>
    <row r="15884" spans="1:2" x14ac:dyDescent="0.25">
      <c r="A15884" s="4">
        <v>15879</v>
      </c>
      <c r="B15884" s="3" t="str">
        <f>"201511015718"</f>
        <v>201511015718</v>
      </c>
    </row>
    <row r="15885" spans="1:2" x14ac:dyDescent="0.25">
      <c r="A15885" s="4">
        <v>15880</v>
      </c>
      <c r="B15885" s="3" t="str">
        <f>"201511015733"</f>
        <v>201511015733</v>
      </c>
    </row>
    <row r="15886" spans="1:2" x14ac:dyDescent="0.25">
      <c r="A15886" s="4">
        <v>15881</v>
      </c>
      <c r="B15886" s="3" t="str">
        <f>"201511015758"</f>
        <v>201511015758</v>
      </c>
    </row>
    <row r="15887" spans="1:2" x14ac:dyDescent="0.25">
      <c r="A15887" s="4">
        <v>15882</v>
      </c>
      <c r="B15887" s="3" t="str">
        <f>"201511015786"</f>
        <v>201511015786</v>
      </c>
    </row>
    <row r="15888" spans="1:2" x14ac:dyDescent="0.25">
      <c r="A15888" s="4">
        <v>15883</v>
      </c>
      <c r="B15888" s="3" t="str">
        <f>"201511015787"</f>
        <v>201511015787</v>
      </c>
    </row>
    <row r="15889" spans="1:2" x14ac:dyDescent="0.25">
      <c r="A15889" s="4">
        <v>15884</v>
      </c>
      <c r="B15889" s="3" t="str">
        <f>"201511015790"</f>
        <v>201511015790</v>
      </c>
    </row>
    <row r="15890" spans="1:2" x14ac:dyDescent="0.25">
      <c r="A15890" s="4">
        <v>15885</v>
      </c>
      <c r="B15890" s="3" t="str">
        <f>"201511015791"</f>
        <v>201511015791</v>
      </c>
    </row>
    <row r="15891" spans="1:2" x14ac:dyDescent="0.25">
      <c r="A15891" s="4">
        <v>15886</v>
      </c>
      <c r="B15891" s="3" t="str">
        <f>"201511015842"</f>
        <v>201511015842</v>
      </c>
    </row>
    <row r="15892" spans="1:2" x14ac:dyDescent="0.25">
      <c r="A15892" s="4">
        <v>15887</v>
      </c>
      <c r="B15892" s="3" t="str">
        <f>"201511015850"</f>
        <v>201511015850</v>
      </c>
    </row>
    <row r="15893" spans="1:2" x14ac:dyDescent="0.25">
      <c r="A15893" s="4">
        <v>15888</v>
      </c>
      <c r="B15893" s="3" t="str">
        <f>"201511015883"</f>
        <v>201511015883</v>
      </c>
    </row>
    <row r="15894" spans="1:2" x14ac:dyDescent="0.25">
      <c r="A15894" s="4">
        <v>15889</v>
      </c>
      <c r="B15894" s="3" t="str">
        <f>"201511015899"</f>
        <v>201511015899</v>
      </c>
    </row>
    <row r="15895" spans="1:2" x14ac:dyDescent="0.25">
      <c r="A15895" s="4">
        <v>15890</v>
      </c>
      <c r="B15895" s="3" t="str">
        <f>"201511015901"</f>
        <v>201511015901</v>
      </c>
    </row>
    <row r="15896" spans="1:2" x14ac:dyDescent="0.25">
      <c r="A15896" s="4">
        <v>15891</v>
      </c>
      <c r="B15896" s="3" t="str">
        <f>"201511015922"</f>
        <v>201511015922</v>
      </c>
    </row>
    <row r="15897" spans="1:2" x14ac:dyDescent="0.25">
      <c r="A15897" s="4">
        <v>15892</v>
      </c>
      <c r="B15897" s="3" t="str">
        <f>"201511015951"</f>
        <v>201511015951</v>
      </c>
    </row>
    <row r="15898" spans="1:2" x14ac:dyDescent="0.25">
      <c r="A15898" s="4">
        <v>15893</v>
      </c>
      <c r="B15898" s="3" t="str">
        <f>"201511015964"</f>
        <v>201511015964</v>
      </c>
    </row>
    <row r="15899" spans="1:2" x14ac:dyDescent="0.25">
      <c r="A15899" s="4">
        <v>15894</v>
      </c>
      <c r="B15899" s="3" t="str">
        <f>"201511016007"</f>
        <v>201511016007</v>
      </c>
    </row>
    <row r="15900" spans="1:2" x14ac:dyDescent="0.25">
      <c r="A15900" s="4">
        <v>15895</v>
      </c>
      <c r="B15900" s="3" t="str">
        <f>"201511016033"</f>
        <v>201511016033</v>
      </c>
    </row>
    <row r="15901" spans="1:2" x14ac:dyDescent="0.25">
      <c r="A15901" s="4">
        <v>15896</v>
      </c>
      <c r="B15901" s="3" t="str">
        <f>"201511016064"</f>
        <v>201511016064</v>
      </c>
    </row>
    <row r="15902" spans="1:2" x14ac:dyDescent="0.25">
      <c r="A15902" s="4">
        <v>15897</v>
      </c>
      <c r="B15902" s="3" t="str">
        <f>"201511016100"</f>
        <v>201511016100</v>
      </c>
    </row>
    <row r="15903" spans="1:2" x14ac:dyDescent="0.25">
      <c r="A15903" s="4">
        <v>15898</v>
      </c>
      <c r="B15903" s="3" t="str">
        <f>"201511016112"</f>
        <v>201511016112</v>
      </c>
    </row>
    <row r="15904" spans="1:2" x14ac:dyDescent="0.25">
      <c r="A15904" s="4">
        <v>15899</v>
      </c>
      <c r="B15904" s="3" t="str">
        <f>"201511016127"</f>
        <v>201511016127</v>
      </c>
    </row>
    <row r="15905" spans="1:2" x14ac:dyDescent="0.25">
      <c r="A15905" s="4">
        <v>15900</v>
      </c>
      <c r="B15905" s="3" t="str">
        <f>"201511016133"</f>
        <v>201511016133</v>
      </c>
    </row>
    <row r="15906" spans="1:2" x14ac:dyDescent="0.25">
      <c r="A15906" s="4">
        <v>15901</v>
      </c>
      <c r="B15906" s="3" t="str">
        <f>"201511016136"</f>
        <v>201511016136</v>
      </c>
    </row>
    <row r="15907" spans="1:2" x14ac:dyDescent="0.25">
      <c r="A15907" s="4">
        <v>15902</v>
      </c>
      <c r="B15907" s="3" t="str">
        <f>"201511016140"</f>
        <v>201511016140</v>
      </c>
    </row>
    <row r="15908" spans="1:2" x14ac:dyDescent="0.25">
      <c r="A15908" s="4">
        <v>15903</v>
      </c>
      <c r="B15908" s="3" t="str">
        <f>"201511016182"</f>
        <v>201511016182</v>
      </c>
    </row>
    <row r="15909" spans="1:2" x14ac:dyDescent="0.25">
      <c r="A15909" s="4">
        <v>15904</v>
      </c>
      <c r="B15909" s="3" t="str">
        <f>"201511016199"</f>
        <v>201511016199</v>
      </c>
    </row>
    <row r="15910" spans="1:2" x14ac:dyDescent="0.25">
      <c r="A15910" s="4">
        <v>15905</v>
      </c>
      <c r="B15910" s="3" t="str">
        <f>"201511016204"</f>
        <v>201511016204</v>
      </c>
    </row>
    <row r="15911" spans="1:2" x14ac:dyDescent="0.25">
      <c r="A15911" s="4">
        <v>15906</v>
      </c>
      <c r="B15911" s="3" t="str">
        <f>"201511016229"</f>
        <v>201511016229</v>
      </c>
    </row>
    <row r="15912" spans="1:2" x14ac:dyDescent="0.25">
      <c r="A15912" s="4">
        <v>15907</v>
      </c>
      <c r="B15912" s="3" t="str">
        <f>"201511016232"</f>
        <v>201511016232</v>
      </c>
    </row>
    <row r="15913" spans="1:2" x14ac:dyDescent="0.25">
      <c r="A15913" s="4">
        <v>15908</v>
      </c>
      <c r="B15913" s="3" t="str">
        <f>"201511016236"</f>
        <v>201511016236</v>
      </c>
    </row>
    <row r="15914" spans="1:2" x14ac:dyDescent="0.25">
      <c r="A15914" s="4">
        <v>15909</v>
      </c>
      <c r="B15914" s="3" t="str">
        <f>"201511016245"</f>
        <v>201511016245</v>
      </c>
    </row>
    <row r="15915" spans="1:2" x14ac:dyDescent="0.25">
      <c r="A15915" s="4">
        <v>15910</v>
      </c>
      <c r="B15915" s="3" t="str">
        <f>"201511016255"</f>
        <v>201511016255</v>
      </c>
    </row>
    <row r="15916" spans="1:2" x14ac:dyDescent="0.25">
      <c r="A15916" s="4">
        <v>15911</v>
      </c>
      <c r="B15916" s="3" t="str">
        <f>"201511016265"</f>
        <v>201511016265</v>
      </c>
    </row>
    <row r="15917" spans="1:2" x14ac:dyDescent="0.25">
      <c r="A15917" s="4">
        <v>15912</v>
      </c>
      <c r="B15917" s="3" t="str">
        <f>"201511016280"</f>
        <v>201511016280</v>
      </c>
    </row>
    <row r="15918" spans="1:2" x14ac:dyDescent="0.25">
      <c r="A15918" s="4">
        <v>15913</v>
      </c>
      <c r="B15918" s="3" t="str">
        <f>"201511016304"</f>
        <v>201511016304</v>
      </c>
    </row>
    <row r="15919" spans="1:2" x14ac:dyDescent="0.25">
      <c r="A15919" s="4">
        <v>15914</v>
      </c>
      <c r="B15919" s="3" t="str">
        <f>"201511016306"</f>
        <v>201511016306</v>
      </c>
    </row>
    <row r="15920" spans="1:2" x14ac:dyDescent="0.25">
      <c r="A15920" s="4">
        <v>15915</v>
      </c>
      <c r="B15920" s="3" t="str">
        <f>"201511016325"</f>
        <v>201511016325</v>
      </c>
    </row>
    <row r="15921" spans="1:2" x14ac:dyDescent="0.25">
      <c r="A15921" s="4">
        <v>15916</v>
      </c>
      <c r="B15921" s="3" t="str">
        <f>"201511016335"</f>
        <v>201511016335</v>
      </c>
    </row>
    <row r="15922" spans="1:2" x14ac:dyDescent="0.25">
      <c r="A15922" s="4">
        <v>15917</v>
      </c>
      <c r="B15922" s="3" t="str">
        <f>"201511016412"</f>
        <v>201511016412</v>
      </c>
    </row>
    <row r="15923" spans="1:2" x14ac:dyDescent="0.25">
      <c r="A15923" s="4">
        <v>15918</v>
      </c>
      <c r="B15923" s="3" t="str">
        <f>"201511016421"</f>
        <v>201511016421</v>
      </c>
    </row>
    <row r="15924" spans="1:2" x14ac:dyDescent="0.25">
      <c r="A15924" s="4">
        <v>15919</v>
      </c>
      <c r="B15924" s="3" t="str">
        <f>"201511016443"</f>
        <v>201511016443</v>
      </c>
    </row>
    <row r="15925" spans="1:2" x14ac:dyDescent="0.25">
      <c r="A15925" s="4">
        <v>15920</v>
      </c>
      <c r="B15925" s="3" t="str">
        <f>"201511016518"</f>
        <v>201511016518</v>
      </c>
    </row>
    <row r="15926" spans="1:2" x14ac:dyDescent="0.25">
      <c r="A15926" s="4">
        <v>15921</v>
      </c>
      <c r="B15926" s="3" t="str">
        <f>"201511016533"</f>
        <v>201511016533</v>
      </c>
    </row>
    <row r="15927" spans="1:2" x14ac:dyDescent="0.25">
      <c r="A15927" s="4">
        <v>15922</v>
      </c>
      <c r="B15927" s="3" t="str">
        <f>"201511016563"</f>
        <v>201511016563</v>
      </c>
    </row>
    <row r="15928" spans="1:2" x14ac:dyDescent="0.25">
      <c r="A15928" s="4">
        <v>15923</v>
      </c>
      <c r="B15928" s="3" t="str">
        <f>"201511016589"</f>
        <v>201511016589</v>
      </c>
    </row>
    <row r="15929" spans="1:2" x14ac:dyDescent="0.25">
      <c r="A15929" s="4">
        <v>15924</v>
      </c>
      <c r="B15929" s="3" t="str">
        <f>"201511016614"</f>
        <v>201511016614</v>
      </c>
    </row>
    <row r="15930" spans="1:2" x14ac:dyDescent="0.25">
      <c r="A15930" s="4">
        <v>15925</v>
      </c>
      <c r="B15930" s="3" t="str">
        <f>"201511016700"</f>
        <v>201511016700</v>
      </c>
    </row>
    <row r="15931" spans="1:2" x14ac:dyDescent="0.25">
      <c r="A15931" s="4">
        <v>15926</v>
      </c>
      <c r="B15931" s="3" t="str">
        <f>"201511016741"</f>
        <v>201511016741</v>
      </c>
    </row>
    <row r="15932" spans="1:2" x14ac:dyDescent="0.25">
      <c r="A15932" s="4">
        <v>15927</v>
      </c>
      <c r="B15932" s="3" t="str">
        <f>"201511016758"</f>
        <v>201511016758</v>
      </c>
    </row>
    <row r="15933" spans="1:2" x14ac:dyDescent="0.25">
      <c r="A15933" s="4">
        <v>15928</v>
      </c>
      <c r="B15933" s="3" t="str">
        <f>"201511016771"</f>
        <v>201511016771</v>
      </c>
    </row>
    <row r="15934" spans="1:2" x14ac:dyDescent="0.25">
      <c r="A15934" s="4">
        <v>15929</v>
      </c>
      <c r="B15934" s="3" t="str">
        <f>"201511016773"</f>
        <v>201511016773</v>
      </c>
    </row>
    <row r="15935" spans="1:2" x14ac:dyDescent="0.25">
      <c r="A15935" s="4">
        <v>15930</v>
      </c>
      <c r="B15935" s="3" t="str">
        <f>"201511016792"</f>
        <v>201511016792</v>
      </c>
    </row>
    <row r="15936" spans="1:2" x14ac:dyDescent="0.25">
      <c r="A15936" s="4">
        <v>15931</v>
      </c>
      <c r="B15936" s="3" t="str">
        <f>"201511016796"</f>
        <v>201511016796</v>
      </c>
    </row>
    <row r="15937" spans="1:2" x14ac:dyDescent="0.25">
      <c r="A15937" s="4">
        <v>15932</v>
      </c>
      <c r="B15937" s="3" t="str">
        <f>"201511016806"</f>
        <v>201511016806</v>
      </c>
    </row>
    <row r="15938" spans="1:2" x14ac:dyDescent="0.25">
      <c r="A15938" s="4">
        <v>15933</v>
      </c>
      <c r="B15938" s="3" t="str">
        <f>"201511016864"</f>
        <v>201511016864</v>
      </c>
    </row>
    <row r="15939" spans="1:2" x14ac:dyDescent="0.25">
      <c r="A15939" s="4">
        <v>15934</v>
      </c>
      <c r="B15939" s="3" t="str">
        <f>"201511016884"</f>
        <v>201511016884</v>
      </c>
    </row>
    <row r="15940" spans="1:2" x14ac:dyDescent="0.25">
      <c r="A15940" s="4">
        <v>15935</v>
      </c>
      <c r="B15940" s="3" t="str">
        <f>"201511016894"</f>
        <v>201511016894</v>
      </c>
    </row>
    <row r="15941" spans="1:2" x14ac:dyDescent="0.25">
      <c r="A15941" s="4">
        <v>15936</v>
      </c>
      <c r="B15941" s="3" t="str">
        <f>"201511016901"</f>
        <v>201511016901</v>
      </c>
    </row>
    <row r="15942" spans="1:2" x14ac:dyDescent="0.25">
      <c r="A15942" s="4">
        <v>15937</v>
      </c>
      <c r="B15942" s="3" t="str">
        <f>"201511016905"</f>
        <v>201511016905</v>
      </c>
    </row>
    <row r="15943" spans="1:2" x14ac:dyDescent="0.25">
      <c r="A15943" s="4">
        <v>15938</v>
      </c>
      <c r="B15943" s="3" t="str">
        <f>"201511016939"</f>
        <v>201511016939</v>
      </c>
    </row>
    <row r="15944" spans="1:2" x14ac:dyDescent="0.25">
      <c r="A15944" s="4">
        <v>15939</v>
      </c>
      <c r="B15944" s="3" t="str">
        <f>"201511016964"</f>
        <v>201511016964</v>
      </c>
    </row>
    <row r="15945" spans="1:2" x14ac:dyDescent="0.25">
      <c r="A15945" s="4">
        <v>15940</v>
      </c>
      <c r="B15945" s="3" t="str">
        <f>"201511016989"</f>
        <v>201511016989</v>
      </c>
    </row>
    <row r="15946" spans="1:2" x14ac:dyDescent="0.25">
      <c r="A15946" s="4">
        <v>15941</v>
      </c>
      <c r="B15946" s="3" t="str">
        <f>"201511017030"</f>
        <v>201511017030</v>
      </c>
    </row>
    <row r="15947" spans="1:2" x14ac:dyDescent="0.25">
      <c r="A15947" s="4">
        <v>15942</v>
      </c>
      <c r="B15947" s="3" t="str">
        <f>"201511017035"</f>
        <v>201511017035</v>
      </c>
    </row>
    <row r="15948" spans="1:2" x14ac:dyDescent="0.25">
      <c r="A15948" s="4">
        <v>15943</v>
      </c>
      <c r="B15948" s="3" t="str">
        <f>"201511017036"</f>
        <v>201511017036</v>
      </c>
    </row>
    <row r="15949" spans="1:2" x14ac:dyDescent="0.25">
      <c r="A15949" s="4">
        <v>15944</v>
      </c>
      <c r="B15949" s="3" t="str">
        <f>"201511017045"</f>
        <v>201511017045</v>
      </c>
    </row>
    <row r="15950" spans="1:2" x14ac:dyDescent="0.25">
      <c r="A15950" s="4">
        <v>15945</v>
      </c>
      <c r="B15950" s="3" t="str">
        <f>"201511017075"</f>
        <v>201511017075</v>
      </c>
    </row>
    <row r="15951" spans="1:2" x14ac:dyDescent="0.25">
      <c r="A15951" s="4">
        <v>15946</v>
      </c>
      <c r="B15951" s="3" t="str">
        <f>"201511017076"</f>
        <v>201511017076</v>
      </c>
    </row>
    <row r="15952" spans="1:2" x14ac:dyDescent="0.25">
      <c r="A15952" s="4">
        <v>15947</v>
      </c>
      <c r="B15952" s="3" t="str">
        <f>"201511017091"</f>
        <v>201511017091</v>
      </c>
    </row>
    <row r="15953" spans="1:2" x14ac:dyDescent="0.25">
      <c r="A15953" s="4">
        <v>15948</v>
      </c>
      <c r="B15953" s="3" t="str">
        <f>"201511017108"</f>
        <v>201511017108</v>
      </c>
    </row>
    <row r="15954" spans="1:2" x14ac:dyDescent="0.25">
      <c r="A15954" s="4">
        <v>15949</v>
      </c>
      <c r="B15954" s="3" t="str">
        <f>"201511017124"</f>
        <v>201511017124</v>
      </c>
    </row>
    <row r="15955" spans="1:2" x14ac:dyDescent="0.25">
      <c r="A15955" s="4">
        <v>15950</v>
      </c>
      <c r="B15955" s="3" t="str">
        <f>"201511017132"</f>
        <v>201511017132</v>
      </c>
    </row>
    <row r="15956" spans="1:2" x14ac:dyDescent="0.25">
      <c r="A15956" s="4">
        <v>15951</v>
      </c>
      <c r="B15956" s="3" t="str">
        <f>"201511017142"</f>
        <v>201511017142</v>
      </c>
    </row>
    <row r="15957" spans="1:2" x14ac:dyDescent="0.25">
      <c r="A15957" s="4">
        <v>15952</v>
      </c>
      <c r="B15957" s="3" t="str">
        <f>"201511017153"</f>
        <v>201511017153</v>
      </c>
    </row>
    <row r="15958" spans="1:2" x14ac:dyDescent="0.25">
      <c r="A15958" s="4">
        <v>15953</v>
      </c>
      <c r="B15958" s="3" t="str">
        <f>"201511017163"</f>
        <v>201511017163</v>
      </c>
    </row>
    <row r="15959" spans="1:2" x14ac:dyDescent="0.25">
      <c r="A15959" s="4">
        <v>15954</v>
      </c>
      <c r="B15959" s="3" t="str">
        <f>"201511017165"</f>
        <v>201511017165</v>
      </c>
    </row>
    <row r="15960" spans="1:2" x14ac:dyDescent="0.25">
      <c r="A15960" s="4">
        <v>15955</v>
      </c>
      <c r="B15960" s="3" t="str">
        <f>"201511017187"</f>
        <v>201511017187</v>
      </c>
    </row>
    <row r="15961" spans="1:2" x14ac:dyDescent="0.25">
      <c r="A15961" s="4">
        <v>15956</v>
      </c>
      <c r="B15961" s="3" t="str">
        <f>"201511017215"</f>
        <v>201511017215</v>
      </c>
    </row>
    <row r="15962" spans="1:2" x14ac:dyDescent="0.25">
      <c r="A15962" s="4">
        <v>15957</v>
      </c>
      <c r="B15962" s="3" t="str">
        <f>"201511017294"</f>
        <v>201511017294</v>
      </c>
    </row>
    <row r="15963" spans="1:2" x14ac:dyDescent="0.25">
      <c r="A15963" s="4">
        <v>15958</v>
      </c>
      <c r="B15963" s="3" t="str">
        <f>"201511017300"</f>
        <v>201511017300</v>
      </c>
    </row>
    <row r="15964" spans="1:2" x14ac:dyDescent="0.25">
      <c r="A15964" s="4">
        <v>15959</v>
      </c>
      <c r="B15964" s="3" t="str">
        <f>"201511017345"</f>
        <v>201511017345</v>
      </c>
    </row>
    <row r="15965" spans="1:2" x14ac:dyDescent="0.25">
      <c r="A15965" s="4">
        <v>15960</v>
      </c>
      <c r="B15965" s="3" t="str">
        <f>"201511017353"</f>
        <v>201511017353</v>
      </c>
    </row>
    <row r="15966" spans="1:2" x14ac:dyDescent="0.25">
      <c r="A15966" s="4">
        <v>15961</v>
      </c>
      <c r="B15966" s="3" t="str">
        <f>"201511017357"</f>
        <v>201511017357</v>
      </c>
    </row>
    <row r="15967" spans="1:2" x14ac:dyDescent="0.25">
      <c r="A15967" s="4">
        <v>15962</v>
      </c>
      <c r="B15967" s="3" t="str">
        <f>"201511017379"</f>
        <v>201511017379</v>
      </c>
    </row>
    <row r="15968" spans="1:2" x14ac:dyDescent="0.25">
      <c r="A15968" s="4">
        <v>15963</v>
      </c>
      <c r="B15968" s="3" t="str">
        <f>"201511017403"</f>
        <v>201511017403</v>
      </c>
    </row>
    <row r="15969" spans="1:2" x14ac:dyDescent="0.25">
      <c r="A15969" s="4">
        <v>15964</v>
      </c>
      <c r="B15969" s="3" t="str">
        <f>"201511017460"</f>
        <v>201511017460</v>
      </c>
    </row>
    <row r="15970" spans="1:2" x14ac:dyDescent="0.25">
      <c r="A15970" s="4">
        <v>15965</v>
      </c>
      <c r="B15970" s="3" t="str">
        <f>"201511017475"</f>
        <v>201511017475</v>
      </c>
    </row>
    <row r="15971" spans="1:2" x14ac:dyDescent="0.25">
      <c r="A15971" s="4">
        <v>15966</v>
      </c>
      <c r="B15971" s="3" t="str">
        <f>"201511017491"</f>
        <v>201511017491</v>
      </c>
    </row>
    <row r="15972" spans="1:2" x14ac:dyDescent="0.25">
      <c r="A15972" s="4">
        <v>15967</v>
      </c>
      <c r="B15972" s="3" t="str">
        <f>"201511017500"</f>
        <v>201511017500</v>
      </c>
    </row>
    <row r="15973" spans="1:2" x14ac:dyDescent="0.25">
      <c r="A15973" s="4">
        <v>15968</v>
      </c>
      <c r="B15973" s="3" t="str">
        <f>"201511017514"</f>
        <v>201511017514</v>
      </c>
    </row>
    <row r="15974" spans="1:2" x14ac:dyDescent="0.25">
      <c r="A15974" s="4">
        <v>15969</v>
      </c>
      <c r="B15974" s="3" t="str">
        <f>"201511017528"</f>
        <v>201511017528</v>
      </c>
    </row>
    <row r="15975" spans="1:2" x14ac:dyDescent="0.25">
      <c r="A15975" s="4">
        <v>15970</v>
      </c>
      <c r="B15975" s="3" t="str">
        <f>"201511017541"</f>
        <v>201511017541</v>
      </c>
    </row>
    <row r="15976" spans="1:2" x14ac:dyDescent="0.25">
      <c r="A15976" s="4">
        <v>15971</v>
      </c>
      <c r="B15976" s="3" t="str">
        <f>"201511017561"</f>
        <v>201511017561</v>
      </c>
    </row>
    <row r="15977" spans="1:2" x14ac:dyDescent="0.25">
      <c r="A15977" s="4">
        <v>15972</v>
      </c>
      <c r="B15977" s="3" t="str">
        <f>"201511017579"</f>
        <v>201511017579</v>
      </c>
    </row>
    <row r="15978" spans="1:2" x14ac:dyDescent="0.25">
      <c r="A15978" s="4">
        <v>15973</v>
      </c>
      <c r="B15978" s="3" t="str">
        <f>"201511017591"</f>
        <v>201511017591</v>
      </c>
    </row>
    <row r="15979" spans="1:2" x14ac:dyDescent="0.25">
      <c r="A15979" s="4">
        <v>15974</v>
      </c>
      <c r="B15979" s="3" t="str">
        <f>"201511017592"</f>
        <v>201511017592</v>
      </c>
    </row>
    <row r="15980" spans="1:2" x14ac:dyDescent="0.25">
      <c r="A15980" s="4">
        <v>15975</v>
      </c>
      <c r="B15980" s="3" t="str">
        <f>"201511017596"</f>
        <v>201511017596</v>
      </c>
    </row>
    <row r="15981" spans="1:2" x14ac:dyDescent="0.25">
      <c r="A15981" s="4">
        <v>15976</v>
      </c>
      <c r="B15981" s="3" t="str">
        <f>"201511017609"</f>
        <v>201511017609</v>
      </c>
    </row>
    <row r="15982" spans="1:2" x14ac:dyDescent="0.25">
      <c r="A15982" s="4">
        <v>15977</v>
      </c>
      <c r="B15982" s="3" t="str">
        <f>"201511017670"</f>
        <v>201511017670</v>
      </c>
    </row>
    <row r="15983" spans="1:2" x14ac:dyDescent="0.25">
      <c r="A15983" s="4">
        <v>15978</v>
      </c>
      <c r="B15983" s="3" t="str">
        <f>"201511017686"</f>
        <v>201511017686</v>
      </c>
    </row>
    <row r="15984" spans="1:2" x14ac:dyDescent="0.25">
      <c r="A15984" s="4">
        <v>15979</v>
      </c>
      <c r="B15984" s="3" t="str">
        <f>"201511017698"</f>
        <v>201511017698</v>
      </c>
    </row>
    <row r="15985" spans="1:2" x14ac:dyDescent="0.25">
      <c r="A15985" s="4">
        <v>15980</v>
      </c>
      <c r="B15985" s="3" t="str">
        <f>"201511017702"</f>
        <v>201511017702</v>
      </c>
    </row>
    <row r="15986" spans="1:2" x14ac:dyDescent="0.25">
      <c r="A15986" s="4">
        <v>15981</v>
      </c>
      <c r="B15986" s="3" t="str">
        <f>"201511017723"</f>
        <v>201511017723</v>
      </c>
    </row>
    <row r="15987" spans="1:2" x14ac:dyDescent="0.25">
      <c r="A15987" s="4">
        <v>15982</v>
      </c>
      <c r="B15987" s="3" t="str">
        <f>"201511017755"</f>
        <v>201511017755</v>
      </c>
    </row>
    <row r="15988" spans="1:2" x14ac:dyDescent="0.25">
      <c r="A15988" s="4">
        <v>15983</v>
      </c>
      <c r="B15988" s="3" t="str">
        <f>"201511017801"</f>
        <v>201511017801</v>
      </c>
    </row>
    <row r="15989" spans="1:2" x14ac:dyDescent="0.25">
      <c r="A15989" s="4">
        <v>15984</v>
      </c>
      <c r="B15989" s="3" t="str">
        <f>"201511017805"</f>
        <v>201511017805</v>
      </c>
    </row>
    <row r="15990" spans="1:2" x14ac:dyDescent="0.25">
      <c r="A15990" s="4">
        <v>15985</v>
      </c>
      <c r="B15990" s="3" t="str">
        <f>"201511017827"</f>
        <v>201511017827</v>
      </c>
    </row>
    <row r="15991" spans="1:2" x14ac:dyDescent="0.25">
      <c r="A15991" s="4">
        <v>15986</v>
      </c>
      <c r="B15991" s="3" t="str">
        <f>"201511017830"</f>
        <v>201511017830</v>
      </c>
    </row>
    <row r="15992" spans="1:2" x14ac:dyDescent="0.25">
      <c r="A15992" s="4">
        <v>15987</v>
      </c>
      <c r="B15992" s="3" t="str">
        <f>"201511017852"</f>
        <v>201511017852</v>
      </c>
    </row>
    <row r="15993" spans="1:2" x14ac:dyDescent="0.25">
      <c r="A15993" s="4">
        <v>15988</v>
      </c>
      <c r="B15993" s="3" t="str">
        <f>"201511017872"</f>
        <v>201511017872</v>
      </c>
    </row>
    <row r="15994" spans="1:2" x14ac:dyDescent="0.25">
      <c r="A15994" s="4">
        <v>15989</v>
      </c>
      <c r="B15994" s="3" t="str">
        <f>"201511017874"</f>
        <v>201511017874</v>
      </c>
    </row>
    <row r="15995" spans="1:2" x14ac:dyDescent="0.25">
      <c r="A15995" s="4">
        <v>15990</v>
      </c>
      <c r="B15995" s="3" t="str">
        <f>"201511017880"</f>
        <v>201511017880</v>
      </c>
    </row>
    <row r="15996" spans="1:2" x14ac:dyDescent="0.25">
      <c r="A15996" s="4">
        <v>15991</v>
      </c>
      <c r="B15996" s="3" t="str">
        <f>"201511017897"</f>
        <v>201511017897</v>
      </c>
    </row>
    <row r="15997" spans="1:2" x14ac:dyDescent="0.25">
      <c r="A15997" s="4">
        <v>15992</v>
      </c>
      <c r="B15997" s="3" t="str">
        <f>"201511017903"</f>
        <v>201511017903</v>
      </c>
    </row>
    <row r="15998" spans="1:2" x14ac:dyDescent="0.25">
      <c r="A15998" s="4">
        <v>15993</v>
      </c>
      <c r="B15998" s="3" t="str">
        <f>"201511018033"</f>
        <v>201511018033</v>
      </c>
    </row>
    <row r="15999" spans="1:2" x14ac:dyDescent="0.25">
      <c r="A15999" s="4">
        <v>15994</v>
      </c>
      <c r="B15999" s="3" t="str">
        <f>"201511018070"</f>
        <v>201511018070</v>
      </c>
    </row>
    <row r="16000" spans="1:2" x14ac:dyDescent="0.25">
      <c r="A16000" s="4">
        <v>15995</v>
      </c>
      <c r="B16000" s="3" t="str">
        <f>"201511018071"</f>
        <v>201511018071</v>
      </c>
    </row>
    <row r="16001" spans="1:2" x14ac:dyDescent="0.25">
      <c r="A16001" s="4">
        <v>15996</v>
      </c>
      <c r="B16001" s="3" t="str">
        <f>"201511018134"</f>
        <v>201511018134</v>
      </c>
    </row>
    <row r="16002" spans="1:2" x14ac:dyDescent="0.25">
      <c r="A16002" s="4">
        <v>15997</v>
      </c>
      <c r="B16002" s="3" t="str">
        <f>"201511018172"</f>
        <v>201511018172</v>
      </c>
    </row>
    <row r="16003" spans="1:2" x14ac:dyDescent="0.25">
      <c r="A16003" s="4">
        <v>15998</v>
      </c>
      <c r="B16003" s="3" t="str">
        <f>"201511018195"</f>
        <v>201511018195</v>
      </c>
    </row>
    <row r="16004" spans="1:2" x14ac:dyDescent="0.25">
      <c r="A16004" s="4">
        <v>15999</v>
      </c>
      <c r="B16004" s="3" t="str">
        <f>"201511018215"</f>
        <v>201511018215</v>
      </c>
    </row>
    <row r="16005" spans="1:2" x14ac:dyDescent="0.25">
      <c r="A16005" s="4">
        <v>16000</v>
      </c>
      <c r="B16005" s="3" t="str">
        <f>"201511018224"</f>
        <v>201511018224</v>
      </c>
    </row>
    <row r="16006" spans="1:2" x14ac:dyDescent="0.25">
      <c r="A16006" s="4">
        <v>16001</v>
      </c>
      <c r="B16006" s="3" t="str">
        <f>"201511018235"</f>
        <v>201511018235</v>
      </c>
    </row>
    <row r="16007" spans="1:2" x14ac:dyDescent="0.25">
      <c r="A16007" s="4">
        <v>16002</v>
      </c>
      <c r="B16007" s="3" t="str">
        <f>"201511018240"</f>
        <v>201511018240</v>
      </c>
    </row>
    <row r="16008" spans="1:2" x14ac:dyDescent="0.25">
      <c r="A16008" s="4">
        <v>16003</v>
      </c>
      <c r="B16008" s="3" t="str">
        <f>"201511018259"</f>
        <v>201511018259</v>
      </c>
    </row>
    <row r="16009" spans="1:2" x14ac:dyDescent="0.25">
      <c r="A16009" s="4">
        <v>16004</v>
      </c>
      <c r="B16009" s="3" t="str">
        <f>"201511018280"</f>
        <v>201511018280</v>
      </c>
    </row>
    <row r="16010" spans="1:2" x14ac:dyDescent="0.25">
      <c r="A16010" s="4">
        <v>16005</v>
      </c>
      <c r="B16010" s="3" t="str">
        <f>"201511018293"</f>
        <v>201511018293</v>
      </c>
    </row>
    <row r="16011" spans="1:2" x14ac:dyDescent="0.25">
      <c r="A16011" s="4">
        <v>16006</v>
      </c>
      <c r="B16011" s="3" t="str">
        <f>"201511018314"</f>
        <v>201511018314</v>
      </c>
    </row>
    <row r="16012" spans="1:2" x14ac:dyDescent="0.25">
      <c r="A16012" s="4">
        <v>16007</v>
      </c>
      <c r="B16012" s="3" t="str">
        <f>"201511018321"</f>
        <v>201511018321</v>
      </c>
    </row>
    <row r="16013" spans="1:2" x14ac:dyDescent="0.25">
      <c r="A16013" s="4">
        <v>16008</v>
      </c>
      <c r="B16013" s="3" t="str">
        <f>"201511018358"</f>
        <v>201511018358</v>
      </c>
    </row>
    <row r="16014" spans="1:2" x14ac:dyDescent="0.25">
      <c r="A16014" s="4">
        <v>16009</v>
      </c>
      <c r="B16014" s="3" t="str">
        <f>"201511018362"</f>
        <v>201511018362</v>
      </c>
    </row>
    <row r="16015" spans="1:2" x14ac:dyDescent="0.25">
      <c r="A16015" s="4">
        <v>16010</v>
      </c>
      <c r="B16015" s="3" t="str">
        <f>"201511018372"</f>
        <v>201511018372</v>
      </c>
    </row>
    <row r="16016" spans="1:2" x14ac:dyDescent="0.25">
      <c r="A16016" s="4">
        <v>16011</v>
      </c>
      <c r="B16016" s="3" t="str">
        <f>"201511018382"</f>
        <v>201511018382</v>
      </c>
    </row>
    <row r="16017" spans="1:2" x14ac:dyDescent="0.25">
      <c r="A16017" s="4">
        <v>16012</v>
      </c>
      <c r="B16017" s="3" t="str">
        <f>"201511018401"</f>
        <v>201511018401</v>
      </c>
    </row>
    <row r="16018" spans="1:2" x14ac:dyDescent="0.25">
      <c r="A16018" s="4">
        <v>16013</v>
      </c>
      <c r="B16018" s="3" t="str">
        <f>"201511018402"</f>
        <v>201511018402</v>
      </c>
    </row>
    <row r="16019" spans="1:2" x14ac:dyDescent="0.25">
      <c r="A16019" s="4">
        <v>16014</v>
      </c>
      <c r="B16019" s="3" t="str">
        <f>"201511018465"</f>
        <v>201511018465</v>
      </c>
    </row>
    <row r="16020" spans="1:2" x14ac:dyDescent="0.25">
      <c r="A16020" s="4">
        <v>16015</v>
      </c>
      <c r="B16020" s="3" t="str">
        <f>"201511018477"</f>
        <v>201511018477</v>
      </c>
    </row>
    <row r="16021" spans="1:2" x14ac:dyDescent="0.25">
      <c r="A16021" s="4">
        <v>16016</v>
      </c>
      <c r="B16021" s="3" t="str">
        <f>"201511018487"</f>
        <v>201511018487</v>
      </c>
    </row>
    <row r="16022" spans="1:2" x14ac:dyDescent="0.25">
      <c r="A16022" s="4">
        <v>16017</v>
      </c>
      <c r="B16022" s="3" t="str">
        <f>"201511018491"</f>
        <v>201511018491</v>
      </c>
    </row>
    <row r="16023" spans="1:2" x14ac:dyDescent="0.25">
      <c r="A16023" s="4">
        <v>16018</v>
      </c>
      <c r="B16023" s="3" t="str">
        <f>"201511018505"</f>
        <v>201511018505</v>
      </c>
    </row>
    <row r="16024" spans="1:2" x14ac:dyDescent="0.25">
      <c r="A16024" s="4">
        <v>16019</v>
      </c>
      <c r="B16024" s="3" t="str">
        <f>"201511018528"</f>
        <v>201511018528</v>
      </c>
    </row>
    <row r="16025" spans="1:2" x14ac:dyDescent="0.25">
      <c r="A16025" s="4">
        <v>16020</v>
      </c>
      <c r="B16025" s="3" t="str">
        <f>"201511018537"</f>
        <v>201511018537</v>
      </c>
    </row>
    <row r="16026" spans="1:2" x14ac:dyDescent="0.25">
      <c r="A16026" s="4">
        <v>16021</v>
      </c>
      <c r="B16026" s="3" t="str">
        <f>"201511018544"</f>
        <v>201511018544</v>
      </c>
    </row>
    <row r="16027" spans="1:2" x14ac:dyDescent="0.25">
      <c r="A16027" s="4">
        <v>16022</v>
      </c>
      <c r="B16027" s="3" t="str">
        <f>"201511018546"</f>
        <v>201511018546</v>
      </c>
    </row>
    <row r="16028" spans="1:2" x14ac:dyDescent="0.25">
      <c r="A16028" s="4">
        <v>16023</v>
      </c>
      <c r="B16028" s="3" t="str">
        <f>"201511018562"</f>
        <v>201511018562</v>
      </c>
    </row>
    <row r="16029" spans="1:2" x14ac:dyDescent="0.25">
      <c r="A16029" s="4">
        <v>16024</v>
      </c>
      <c r="B16029" s="3" t="str">
        <f>"201511018587"</f>
        <v>201511018587</v>
      </c>
    </row>
    <row r="16030" spans="1:2" x14ac:dyDescent="0.25">
      <c r="A16030" s="4">
        <v>16025</v>
      </c>
      <c r="B16030" s="3" t="str">
        <f>"201511018588"</f>
        <v>201511018588</v>
      </c>
    </row>
    <row r="16031" spans="1:2" x14ac:dyDescent="0.25">
      <c r="A16031" s="4">
        <v>16026</v>
      </c>
      <c r="B16031" s="3" t="str">
        <f>"201511018594"</f>
        <v>201511018594</v>
      </c>
    </row>
    <row r="16032" spans="1:2" x14ac:dyDescent="0.25">
      <c r="A16032" s="4">
        <v>16027</v>
      </c>
      <c r="B16032" s="3" t="str">
        <f>"201511018600"</f>
        <v>201511018600</v>
      </c>
    </row>
    <row r="16033" spans="1:2" x14ac:dyDescent="0.25">
      <c r="A16033" s="4">
        <v>16028</v>
      </c>
      <c r="B16033" s="3" t="str">
        <f>"201511018621"</f>
        <v>201511018621</v>
      </c>
    </row>
    <row r="16034" spans="1:2" x14ac:dyDescent="0.25">
      <c r="A16034" s="4">
        <v>16029</v>
      </c>
      <c r="B16034" s="3" t="str">
        <f>"201511018664"</f>
        <v>201511018664</v>
      </c>
    </row>
    <row r="16035" spans="1:2" x14ac:dyDescent="0.25">
      <c r="A16035" s="4">
        <v>16030</v>
      </c>
      <c r="B16035" s="3" t="str">
        <f>"201511018667"</f>
        <v>201511018667</v>
      </c>
    </row>
    <row r="16036" spans="1:2" x14ac:dyDescent="0.25">
      <c r="A16036" s="4">
        <v>16031</v>
      </c>
      <c r="B16036" s="3" t="str">
        <f>"201511018745"</f>
        <v>201511018745</v>
      </c>
    </row>
    <row r="16037" spans="1:2" x14ac:dyDescent="0.25">
      <c r="A16037" s="4">
        <v>16032</v>
      </c>
      <c r="B16037" s="3" t="str">
        <f>"201511018770"</f>
        <v>201511018770</v>
      </c>
    </row>
    <row r="16038" spans="1:2" x14ac:dyDescent="0.25">
      <c r="A16038" s="4">
        <v>16033</v>
      </c>
      <c r="B16038" s="3" t="str">
        <f>"201511018778"</f>
        <v>201511018778</v>
      </c>
    </row>
    <row r="16039" spans="1:2" x14ac:dyDescent="0.25">
      <c r="A16039" s="4">
        <v>16034</v>
      </c>
      <c r="B16039" s="3" t="str">
        <f>"201511018783"</f>
        <v>201511018783</v>
      </c>
    </row>
    <row r="16040" spans="1:2" x14ac:dyDescent="0.25">
      <c r="A16040" s="4">
        <v>16035</v>
      </c>
      <c r="B16040" s="3" t="str">
        <f>"201511018808"</f>
        <v>201511018808</v>
      </c>
    </row>
    <row r="16041" spans="1:2" x14ac:dyDescent="0.25">
      <c r="A16041" s="4">
        <v>16036</v>
      </c>
      <c r="B16041" s="3" t="str">
        <f>"201511018819"</f>
        <v>201511018819</v>
      </c>
    </row>
    <row r="16042" spans="1:2" x14ac:dyDescent="0.25">
      <c r="A16042" s="4">
        <v>16037</v>
      </c>
      <c r="B16042" s="3" t="str">
        <f>"201511018836"</f>
        <v>201511018836</v>
      </c>
    </row>
    <row r="16043" spans="1:2" x14ac:dyDescent="0.25">
      <c r="A16043" s="4">
        <v>16038</v>
      </c>
      <c r="B16043" s="3" t="str">
        <f>"201511018852"</f>
        <v>201511018852</v>
      </c>
    </row>
    <row r="16044" spans="1:2" x14ac:dyDescent="0.25">
      <c r="A16044" s="4">
        <v>16039</v>
      </c>
      <c r="B16044" s="3" t="str">
        <f>"201511018853"</f>
        <v>201511018853</v>
      </c>
    </row>
    <row r="16045" spans="1:2" x14ac:dyDescent="0.25">
      <c r="A16045" s="4">
        <v>16040</v>
      </c>
      <c r="B16045" s="3" t="str">
        <f>"201511018887"</f>
        <v>201511018887</v>
      </c>
    </row>
    <row r="16046" spans="1:2" x14ac:dyDescent="0.25">
      <c r="A16046" s="4">
        <v>16041</v>
      </c>
      <c r="B16046" s="3" t="str">
        <f>"201511018894"</f>
        <v>201511018894</v>
      </c>
    </row>
    <row r="16047" spans="1:2" x14ac:dyDescent="0.25">
      <c r="A16047" s="4">
        <v>16042</v>
      </c>
      <c r="B16047" s="3" t="str">
        <f>"201511018909"</f>
        <v>201511018909</v>
      </c>
    </row>
    <row r="16048" spans="1:2" x14ac:dyDescent="0.25">
      <c r="A16048" s="4">
        <v>16043</v>
      </c>
      <c r="B16048" s="3" t="str">
        <f>"201511018918"</f>
        <v>201511018918</v>
      </c>
    </row>
    <row r="16049" spans="1:2" x14ac:dyDescent="0.25">
      <c r="A16049" s="4">
        <v>16044</v>
      </c>
      <c r="B16049" s="3" t="str">
        <f>"201511018953"</f>
        <v>201511018953</v>
      </c>
    </row>
    <row r="16050" spans="1:2" x14ac:dyDescent="0.25">
      <c r="A16050" s="4">
        <v>16045</v>
      </c>
      <c r="B16050" s="3" t="str">
        <f>"201511018989"</f>
        <v>201511018989</v>
      </c>
    </row>
    <row r="16051" spans="1:2" x14ac:dyDescent="0.25">
      <c r="A16051" s="4">
        <v>16046</v>
      </c>
      <c r="B16051" s="3" t="str">
        <f>"201511018996"</f>
        <v>201511018996</v>
      </c>
    </row>
    <row r="16052" spans="1:2" x14ac:dyDescent="0.25">
      <c r="A16052" s="4">
        <v>16047</v>
      </c>
      <c r="B16052" s="3" t="str">
        <f>"201511019075"</f>
        <v>201511019075</v>
      </c>
    </row>
    <row r="16053" spans="1:2" x14ac:dyDescent="0.25">
      <c r="A16053" s="4">
        <v>16048</v>
      </c>
      <c r="B16053" s="3" t="str">
        <f>"201511019104"</f>
        <v>201511019104</v>
      </c>
    </row>
    <row r="16054" spans="1:2" x14ac:dyDescent="0.25">
      <c r="A16054" s="4">
        <v>16049</v>
      </c>
      <c r="B16054" s="3" t="str">
        <f>"201511019126"</f>
        <v>201511019126</v>
      </c>
    </row>
    <row r="16055" spans="1:2" x14ac:dyDescent="0.25">
      <c r="A16055" s="4">
        <v>16050</v>
      </c>
      <c r="B16055" s="3" t="str">
        <f>"201511019176"</f>
        <v>201511019176</v>
      </c>
    </row>
    <row r="16056" spans="1:2" x14ac:dyDescent="0.25">
      <c r="A16056" s="4">
        <v>16051</v>
      </c>
      <c r="B16056" s="3" t="str">
        <f>"201511019215"</f>
        <v>201511019215</v>
      </c>
    </row>
    <row r="16057" spans="1:2" x14ac:dyDescent="0.25">
      <c r="A16057" s="4">
        <v>16052</v>
      </c>
      <c r="B16057" s="3" t="str">
        <f>"201511019236"</f>
        <v>201511019236</v>
      </c>
    </row>
    <row r="16058" spans="1:2" x14ac:dyDescent="0.25">
      <c r="A16058" s="4">
        <v>16053</v>
      </c>
      <c r="B16058" s="3" t="str">
        <f>"201511019242"</f>
        <v>201511019242</v>
      </c>
    </row>
    <row r="16059" spans="1:2" x14ac:dyDescent="0.25">
      <c r="A16059" s="4">
        <v>16054</v>
      </c>
      <c r="B16059" s="3" t="str">
        <f>"201511019248"</f>
        <v>201511019248</v>
      </c>
    </row>
    <row r="16060" spans="1:2" x14ac:dyDescent="0.25">
      <c r="A16060" s="4">
        <v>16055</v>
      </c>
      <c r="B16060" s="3" t="str">
        <f>"201511019251"</f>
        <v>201511019251</v>
      </c>
    </row>
    <row r="16061" spans="1:2" x14ac:dyDescent="0.25">
      <c r="A16061" s="4">
        <v>16056</v>
      </c>
      <c r="B16061" s="3" t="str">
        <f>"201511019266"</f>
        <v>201511019266</v>
      </c>
    </row>
    <row r="16062" spans="1:2" x14ac:dyDescent="0.25">
      <c r="A16062" s="4">
        <v>16057</v>
      </c>
      <c r="B16062" s="3" t="str">
        <f>"201511019275"</f>
        <v>201511019275</v>
      </c>
    </row>
    <row r="16063" spans="1:2" x14ac:dyDescent="0.25">
      <c r="A16063" s="4">
        <v>16058</v>
      </c>
      <c r="B16063" s="3" t="str">
        <f>"201511019339"</f>
        <v>201511019339</v>
      </c>
    </row>
    <row r="16064" spans="1:2" x14ac:dyDescent="0.25">
      <c r="A16064" s="4">
        <v>16059</v>
      </c>
      <c r="B16064" s="3" t="str">
        <f>"201511019349"</f>
        <v>201511019349</v>
      </c>
    </row>
    <row r="16065" spans="1:2" x14ac:dyDescent="0.25">
      <c r="A16065" s="4">
        <v>16060</v>
      </c>
      <c r="B16065" s="3" t="str">
        <f>"201511019373"</f>
        <v>201511019373</v>
      </c>
    </row>
    <row r="16066" spans="1:2" x14ac:dyDescent="0.25">
      <c r="A16066" s="4">
        <v>16061</v>
      </c>
      <c r="B16066" s="3" t="str">
        <f>"201511019391"</f>
        <v>201511019391</v>
      </c>
    </row>
    <row r="16067" spans="1:2" x14ac:dyDescent="0.25">
      <c r="A16067" s="4">
        <v>16062</v>
      </c>
      <c r="B16067" s="3" t="str">
        <f>"201511019392"</f>
        <v>201511019392</v>
      </c>
    </row>
    <row r="16068" spans="1:2" x14ac:dyDescent="0.25">
      <c r="A16068" s="4">
        <v>16063</v>
      </c>
      <c r="B16068" s="3" t="str">
        <f>"201511019421"</f>
        <v>201511019421</v>
      </c>
    </row>
    <row r="16069" spans="1:2" x14ac:dyDescent="0.25">
      <c r="A16069" s="4">
        <v>16064</v>
      </c>
      <c r="B16069" s="3" t="str">
        <f>"201511019430"</f>
        <v>201511019430</v>
      </c>
    </row>
    <row r="16070" spans="1:2" x14ac:dyDescent="0.25">
      <c r="A16070" s="4">
        <v>16065</v>
      </c>
      <c r="B16070" s="3" t="str">
        <f>"201511019465"</f>
        <v>201511019465</v>
      </c>
    </row>
    <row r="16071" spans="1:2" x14ac:dyDescent="0.25">
      <c r="A16071" s="4">
        <v>16066</v>
      </c>
      <c r="B16071" s="3" t="str">
        <f>"201511019505"</f>
        <v>201511019505</v>
      </c>
    </row>
    <row r="16072" spans="1:2" x14ac:dyDescent="0.25">
      <c r="A16072" s="4">
        <v>16067</v>
      </c>
      <c r="B16072" s="3" t="str">
        <f>"201511019537"</f>
        <v>201511019537</v>
      </c>
    </row>
    <row r="16073" spans="1:2" x14ac:dyDescent="0.25">
      <c r="A16073" s="4">
        <v>16068</v>
      </c>
      <c r="B16073" s="3" t="str">
        <f>"201511019565"</f>
        <v>201511019565</v>
      </c>
    </row>
    <row r="16074" spans="1:2" x14ac:dyDescent="0.25">
      <c r="A16074" s="4">
        <v>16069</v>
      </c>
      <c r="B16074" s="3" t="str">
        <f>"201511019604"</f>
        <v>201511019604</v>
      </c>
    </row>
    <row r="16075" spans="1:2" x14ac:dyDescent="0.25">
      <c r="A16075" s="4">
        <v>16070</v>
      </c>
      <c r="B16075" s="3" t="str">
        <f>"201511019640"</f>
        <v>201511019640</v>
      </c>
    </row>
    <row r="16076" spans="1:2" x14ac:dyDescent="0.25">
      <c r="A16076" s="4">
        <v>16071</v>
      </c>
      <c r="B16076" s="3" t="str">
        <f>"201511019650"</f>
        <v>201511019650</v>
      </c>
    </row>
    <row r="16077" spans="1:2" x14ac:dyDescent="0.25">
      <c r="A16077" s="4">
        <v>16072</v>
      </c>
      <c r="B16077" s="3" t="str">
        <f>"201511019651"</f>
        <v>201511019651</v>
      </c>
    </row>
    <row r="16078" spans="1:2" x14ac:dyDescent="0.25">
      <c r="A16078" s="4">
        <v>16073</v>
      </c>
      <c r="B16078" s="3" t="str">
        <f>"201511019653"</f>
        <v>201511019653</v>
      </c>
    </row>
    <row r="16079" spans="1:2" x14ac:dyDescent="0.25">
      <c r="A16079" s="4">
        <v>16074</v>
      </c>
      <c r="B16079" s="3" t="str">
        <f>"201511019686"</f>
        <v>201511019686</v>
      </c>
    </row>
    <row r="16080" spans="1:2" x14ac:dyDescent="0.25">
      <c r="A16080" s="4">
        <v>16075</v>
      </c>
      <c r="B16080" s="3" t="str">
        <f>"201511019695"</f>
        <v>201511019695</v>
      </c>
    </row>
    <row r="16081" spans="1:2" x14ac:dyDescent="0.25">
      <c r="A16081" s="4">
        <v>16076</v>
      </c>
      <c r="B16081" s="3" t="str">
        <f>"201511019718"</f>
        <v>201511019718</v>
      </c>
    </row>
    <row r="16082" spans="1:2" x14ac:dyDescent="0.25">
      <c r="A16082" s="4">
        <v>16077</v>
      </c>
      <c r="B16082" s="3" t="str">
        <f>"201511019720"</f>
        <v>201511019720</v>
      </c>
    </row>
    <row r="16083" spans="1:2" x14ac:dyDescent="0.25">
      <c r="A16083" s="4">
        <v>16078</v>
      </c>
      <c r="B16083" s="3" t="str">
        <f>"201511019744"</f>
        <v>201511019744</v>
      </c>
    </row>
    <row r="16084" spans="1:2" x14ac:dyDescent="0.25">
      <c r="A16084" s="4">
        <v>16079</v>
      </c>
      <c r="B16084" s="3" t="str">
        <f>"201511019750"</f>
        <v>201511019750</v>
      </c>
    </row>
    <row r="16085" spans="1:2" x14ac:dyDescent="0.25">
      <c r="A16085" s="4">
        <v>16080</v>
      </c>
      <c r="B16085" s="3" t="str">
        <f>"201511019791"</f>
        <v>201511019791</v>
      </c>
    </row>
    <row r="16086" spans="1:2" x14ac:dyDescent="0.25">
      <c r="A16086" s="4">
        <v>16081</v>
      </c>
      <c r="B16086" s="3" t="str">
        <f>"201511019829"</f>
        <v>201511019829</v>
      </c>
    </row>
    <row r="16087" spans="1:2" x14ac:dyDescent="0.25">
      <c r="A16087" s="4">
        <v>16082</v>
      </c>
      <c r="B16087" s="3" t="str">
        <f>"201511019831"</f>
        <v>201511019831</v>
      </c>
    </row>
    <row r="16088" spans="1:2" x14ac:dyDescent="0.25">
      <c r="A16088" s="4">
        <v>16083</v>
      </c>
      <c r="B16088" s="3" t="str">
        <f>"201511019832"</f>
        <v>201511019832</v>
      </c>
    </row>
    <row r="16089" spans="1:2" x14ac:dyDescent="0.25">
      <c r="A16089" s="4">
        <v>16084</v>
      </c>
      <c r="B16089" s="3" t="str">
        <f>"201511019884"</f>
        <v>201511019884</v>
      </c>
    </row>
    <row r="16090" spans="1:2" x14ac:dyDescent="0.25">
      <c r="A16090" s="4">
        <v>16085</v>
      </c>
      <c r="B16090" s="3" t="str">
        <f>"201511019889"</f>
        <v>201511019889</v>
      </c>
    </row>
    <row r="16091" spans="1:2" x14ac:dyDescent="0.25">
      <c r="A16091" s="4">
        <v>16086</v>
      </c>
      <c r="B16091" s="3" t="str">
        <f>"201511019890"</f>
        <v>201511019890</v>
      </c>
    </row>
    <row r="16092" spans="1:2" x14ac:dyDescent="0.25">
      <c r="A16092" s="4">
        <v>16087</v>
      </c>
      <c r="B16092" s="3" t="str">
        <f>"201511019920"</f>
        <v>201511019920</v>
      </c>
    </row>
    <row r="16093" spans="1:2" x14ac:dyDescent="0.25">
      <c r="A16093" s="4">
        <v>16088</v>
      </c>
      <c r="B16093" s="3" t="str">
        <f>"201511019939"</f>
        <v>201511019939</v>
      </c>
    </row>
    <row r="16094" spans="1:2" x14ac:dyDescent="0.25">
      <c r="A16094" s="4">
        <v>16089</v>
      </c>
      <c r="B16094" s="3" t="str">
        <f>"201511019943"</f>
        <v>201511019943</v>
      </c>
    </row>
    <row r="16095" spans="1:2" x14ac:dyDescent="0.25">
      <c r="A16095" s="4">
        <v>16090</v>
      </c>
      <c r="B16095" s="3" t="str">
        <f>"201511019999"</f>
        <v>201511019999</v>
      </c>
    </row>
    <row r="16096" spans="1:2" x14ac:dyDescent="0.25">
      <c r="A16096" s="4">
        <v>16091</v>
      </c>
      <c r="B16096" s="3" t="str">
        <f>"201511020001"</f>
        <v>201511020001</v>
      </c>
    </row>
    <row r="16097" spans="1:2" x14ac:dyDescent="0.25">
      <c r="A16097" s="4">
        <v>16092</v>
      </c>
      <c r="B16097" s="3" t="str">
        <f>"201511020005"</f>
        <v>201511020005</v>
      </c>
    </row>
    <row r="16098" spans="1:2" x14ac:dyDescent="0.25">
      <c r="A16098" s="4">
        <v>16093</v>
      </c>
      <c r="B16098" s="3" t="str">
        <f>"201511020019"</f>
        <v>201511020019</v>
      </c>
    </row>
    <row r="16099" spans="1:2" x14ac:dyDescent="0.25">
      <c r="A16099" s="4">
        <v>16094</v>
      </c>
      <c r="B16099" s="3" t="str">
        <f>"201511020028"</f>
        <v>201511020028</v>
      </c>
    </row>
    <row r="16100" spans="1:2" x14ac:dyDescent="0.25">
      <c r="A16100" s="4">
        <v>16095</v>
      </c>
      <c r="B16100" s="3" t="str">
        <f>"201511020032"</f>
        <v>201511020032</v>
      </c>
    </row>
    <row r="16101" spans="1:2" x14ac:dyDescent="0.25">
      <c r="A16101" s="4">
        <v>16096</v>
      </c>
      <c r="B16101" s="3" t="str">
        <f>"201511020039"</f>
        <v>201511020039</v>
      </c>
    </row>
    <row r="16102" spans="1:2" x14ac:dyDescent="0.25">
      <c r="A16102" s="4">
        <v>16097</v>
      </c>
      <c r="B16102" s="3" t="str">
        <f>"201511020076"</f>
        <v>201511020076</v>
      </c>
    </row>
    <row r="16103" spans="1:2" x14ac:dyDescent="0.25">
      <c r="A16103" s="4">
        <v>16098</v>
      </c>
      <c r="B16103" s="3" t="str">
        <f>"201511020087"</f>
        <v>201511020087</v>
      </c>
    </row>
    <row r="16104" spans="1:2" x14ac:dyDescent="0.25">
      <c r="A16104" s="4">
        <v>16099</v>
      </c>
      <c r="B16104" s="3" t="str">
        <f>"201511020121"</f>
        <v>201511020121</v>
      </c>
    </row>
    <row r="16105" spans="1:2" x14ac:dyDescent="0.25">
      <c r="A16105" s="4">
        <v>16100</v>
      </c>
      <c r="B16105" s="3" t="str">
        <f>"201511020126"</f>
        <v>201511020126</v>
      </c>
    </row>
    <row r="16106" spans="1:2" x14ac:dyDescent="0.25">
      <c r="A16106" s="4">
        <v>16101</v>
      </c>
      <c r="B16106" s="3" t="str">
        <f>"201511020128"</f>
        <v>201511020128</v>
      </c>
    </row>
    <row r="16107" spans="1:2" x14ac:dyDescent="0.25">
      <c r="A16107" s="4">
        <v>16102</v>
      </c>
      <c r="B16107" s="3" t="str">
        <f>"201511020137"</f>
        <v>201511020137</v>
      </c>
    </row>
    <row r="16108" spans="1:2" x14ac:dyDescent="0.25">
      <c r="A16108" s="4">
        <v>16103</v>
      </c>
      <c r="B16108" s="3" t="str">
        <f>"201511020142"</f>
        <v>201511020142</v>
      </c>
    </row>
    <row r="16109" spans="1:2" x14ac:dyDescent="0.25">
      <c r="A16109" s="4">
        <v>16104</v>
      </c>
      <c r="B16109" s="3" t="str">
        <f>"201511020157"</f>
        <v>201511020157</v>
      </c>
    </row>
    <row r="16110" spans="1:2" x14ac:dyDescent="0.25">
      <c r="A16110" s="4">
        <v>16105</v>
      </c>
      <c r="B16110" s="3" t="str">
        <f>"201511020159"</f>
        <v>201511020159</v>
      </c>
    </row>
    <row r="16111" spans="1:2" x14ac:dyDescent="0.25">
      <c r="A16111" s="4">
        <v>16106</v>
      </c>
      <c r="B16111" s="3" t="str">
        <f>"201511020160"</f>
        <v>201511020160</v>
      </c>
    </row>
    <row r="16112" spans="1:2" x14ac:dyDescent="0.25">
      <c r="A16112" s="4">
        <v>16107</v>
      </c>
      <c r="B16112" s="3" t="str">
        <f>"201511020207"</f>
        <v>201511020207</v>
      </c>
    </row>
    <row r="16113" spans="1:2" x14ac:dyDescent="0.25">
      <c r="A16113" s="4">
        <v>16108</v>
      </c>
      <c r="B16113" s="3" t="str">
        <f>"201511020226"</f>
        <v>201511020226</v>
      </c>
    </row>
    <row r="16114" spans="1:2" x14ac:dyDescent="0.25">
      <c r="A16114" s="4">
        <v>16109</v>
      </c>
      <c r="B16114" s="3" t="str">
        <f>"201511020232"</f>
        <v>201511020232</v>
      </c>
    </row>
    <row r="16115" spans="1:2" x14ac:dyDescent="0.25">
      <c r="A16115" s="4">
        <v>16110</v>
      </c>
      <c r="B16115" s="3" t="str">
        <f>"201511020240"</f>
        <v>201511020240</v>
      </c>
    </row>
    <row r="16116" spans="1:2" x14ac:dyDescent="0.25">
      <c r="A16116" s="4">
        <v>16111</v>
      </c>
      <c r="B16116" s="3" t="str">
        <f>"201511020241"</f>
        <v>201511020241</v>
      </c>
    </row>
    <row r="16117" spans="1:2" x14ac:dyDescent="0.25">
      <c r="A16117" s="4">
        <v>16112</v>
      </c>
      <c r="B16117" s="3" t="str">
        <f>"201511020255"</f>
        <v>201511020255</v>
      </c>
    </row>
    <row r="16118" spans="1:2" x14ac:dyDescent="0.25">
      <c r="A16118" s="4">
        <v>16113</v>
      </c>
      <c r="B16118" s="3" t="str">
        <f>"201511020257"</f>
        <v>201511020257</v>
      </c>
    </row>
    <row r="16119" spans="1:2" x14ac:dyDescent="0.25">
      <c r="A16119" s="4">
        <v>16114</v>
      </c>
      <c r="B16119" s="3" t="str">
        <f>"201511020259"</f>
        <v>201511020259</v>
      </c>
    </row>
    <row r="16120" spans="1:2" x14ac:dyDescent="0.25">
      <c r="A16120" s="4">
        <v>16115</v>
      </c>
      <c r="B16120" s="3" t="str">
        <f>"201511020263"</f>
        <v>201511020263</v>
      </c>
    </row>
    <row r="16121" spans="1:2" x14ac:dyDescent="0.25">
      <c r="A16121" s="4">
        <v>16116</v>
      </c>
      <c r="B16121" s="3" t="str">
        <f>"201511020289"</f>
        <v>201511020289</v>
      </c>
    </row>
    <row r="16122" spans="1:2" x14ac:dyDescent="0.25">
      <c r="A16122" s="4">
        <v>16117</v>
      </c>
      <c r="B16122" s="3" t="str">
        <f>"201511020338"</f>
        <v>201511020338</v>
      </c>
    </row>
    <row r="16123" spans="1:2" x14ac:dyDescent="0.25">
      <c r="A16123" s="4">
        <v>16118</v>
      </c>
      <c r="B16123" s="3" t="str">
        <f>"201511020351"</f>
        <v>201511020351</v>
      </c>
    </row>
    <row r="16124" spans="1:2" x14ac:dyDescent="0.25">
      <c r="A16124" s="4">
        <v>16119</v>
      </c>
      <c r="B16124" s="3" t="str">
        <f>"201511020419"</f>
        <v>201511020419</v>
      </c>
    </row>
    <row r="16125" spans="1:2" x14ac:dyDescent="0.25">
      <c r="A16125" s="4">
        <v>16120</v>
      </c>
      <c r="B16125" s="3" t="str">
        <f>"201511020440"</f>
        <v>201511020440</v>
      </c>
    </row>
    <row r="16126" spans="1:2" x14ac:dyDescent="0.25">
      <c r="A16126" s="4">
        <v>16121</v>
      </c>
      <c r="B16126" s="3" t="str">
        <f>"201511020441"</f>
        <v>201511020441</v>
      </c>
    </row>
    <row r="16127" spans="1:2" x14ac:dyDescent="0.25">
      <c r="A16127" s="4">
        <v>16122</v>
      </c>
      <c r="B16127" s="3" t="str">
        <f>"201511020445"</f>
        <v>201511020445</v>
      </c>
    </row>
    <row r="16128" spans="1:2" x14ac:dyDescent="0.25">
      <c r="A16128" s="4">
        <v>16123</v>
      </c>
      <c r="B16128" s="3" t="str">
        <f>"201511020477"</f>
        <v>201511020477</v>
      </c>
    </row>
    <row r="16129" spans="1:2" x14ac:dyDescent="0.25">
      <c r="A16129" s="4">
        <v>16124</v>
      </c>
      <c r="B16129" s="3" t="str">
        <f>"201511020526"</f>
        <v>201511020526</v>
      </c>
    </row>
    <row r="16130" spans="1:2" x14ac:dyDescent="0.25">
      <c r="A16130" s="4">
        <v>16125</v>
      </c>
      <c r="B16130" s="3" t="str">
        <f>"201511020529"</f>
        <v>201511020529</v>
      </c>
    </row>
    <row r="16131" spans="1:2" x14ac:dyDescent="0.25">
      <c r="A16131" s="4">
        <v>16126</v>
      </c>
      <c r="B16131" s="3" t="str">
        <f>"201511020534"</f>
        <v>201511020534</v>
      </c>
    </row>
    <row r="16132" spans="1:2" x14ac:dyDescent="0.25">
      <c r="A16132" s="4">
        <v>16127</v>
      </c>
      <c r="B16132" s="3" t="str">
        <f>"201511020538"</f>
        <v>201511020538</v>
      </c>
    </row>
    <row r="16133" spans="1:2" x14ac:dyDescent="0.25">
      <c r="A16133" s="4">
        <v>16128</v>
      </c>
      <c r="B16133" s="3" t="str">
        <f>"201511020565"</f>
        <v>201511020565</v>
      </c>
    </row>
    <row r="16134" spans="1:2" x14ac:dyDescent="0.25">
      <c r="A16134" s="4">
        <v>16129</v>
      </c>
      <c r="B16134" s="3" t="str">
        <f>"201511020570"</f>
        <v>201511020570</v>
      </c>
    </row>
    <row r="16135" spans="1:2" x14ac:dyDescent="0.25">
      <c r="A16135" s="4">
        <v>16130</v>
      </c>
      <c r="B16135" s="3" t="str">
        <f>"201511020584"</f>
        <v>201511020584</v>
      </c>
    </row>
    <row r="16136" spans="1:2" x14ac:dyDescent="0.25">
      <c r="A16136" s="4">
        <v>16131</v>
      </c>
      <c r="B16136" s="3" t="str">
        <f>"201511020605"</f>
        <v>201511020605</v>
      </c>
    </row>
    <row r="16137" spans="1:2" x14ac:dyDescent="0.25">
      <c r="A16137" s="4">
        <v>16132</v>
      </c>
      <c r="B16137" s="3" t="str">
        <f>"201511020616"</f>
        <v>201511020616</v>
      </c>
    </row>
    <row r="16138" spans="1:2" x14ac:dyDescent="0.25">
      <c r="A16138" s="4">
        <v>16133</v>
      </c>
      <c r="B16138" s="3" t="str">
        <f>"201511020650"</f>
        <v>201511020650</v>
      </c>
    </row>
    <row r="16139" spans="1:2" x14ac:dyDescent="0.25">
      <c r="A16139" s="4">
        <v>16134</v>
      </c>
      <c r="B16139" s="3" t="str">
        <f>"201511020658"</f>
        <v>201511020658</v>
      </c>
    </row>
    <row r="16140" spans="1:2" x14ac:dyDescent="0.25">
      <c r="A16140" s="4">
        <v>16135</v>
      </c>
      <c r="B16140" s="3" t="str">
        <f>"201511020667"</f>
        <v>201511020667</v>
      </c>
    </row>
    <row r="16141" spans="1:2" x14ac:dyDescent="0.25">
      <c r="A16141" s="4">
        <v>16136</v>
      </c>
      <c r="B16141" s="3" t="str">
        <f>"201511020676"</f>
        <v>201511020676</v>
      </c>
    </row>
    <row r="16142" spans="1:2" x14ac:dyDescent="0.25">
      <c r="A16142" s="4">
        <v>16137</v>
      </c>
      <c r="B16142" s="3" t="str">
        <f>"201511020686"</f>
        <v>201511020686</v>
      </c>
    </row>
    <row r="16143" spans="1:2" x14ac:dyDescent="0.25">
      <c r="A16143" s="4">
        <v>16138</v>
      </c>
      <c r="B16143" s="3" t="str">
        <f>"201511020716"</f>
        <v>201511020716</v>
      </c>
    </row>
    <row r="16144" spans="1:2" x14ac:dyDescent="0.25">
      <c r="A16144" s="4">
        <v>16139</v>
      </c>
      <c r="B16144" s="3" t="str">
        <f>"201511020718"</f>
        <v>201511020718</v>
      </c>
    </row>
    <row r="16145" spans="1:2" x14ac:dyDescent="0.25">
      <c r="A16145" s="4">
        <v>16140</v>
      </c>
      <c r="B16145" s="3" t="str">
        <f>"201511020734"</f>
        <v>201511020734</v>
      </c>
    </row>
    <row r="16146" spans="1:2" x14ac:dyDescent="0.25">
      <c r="A16146" s="4">
        <v>16141</v>
      </c>
      <c r="B16146" s="3" t="str">
        <f>"201511020735"</f>
        <v>201511020735</v>
      </c>
    </row>
    <row r="16147" spans="1:2" x14ac:dyDescent="0.25">
      <c r="A16147" s="4">
        <v>16142</v>
      </c>
      <c r="B16147" s="3" t="str">
        <f>"201511020747"</f>
        <v>201511020747</v>
      </c>
    </row>
    <row r="16148" spans="1:2" x14ac:dyDescent="0.25">
      <c r="A16148" s="4">
        <v>16143</v>
      </c>
      <c r="B16148" s="3" t="str">
        <f>"201511020760"</f>
        <v>201511020760</v>
      </c>
    </row>
    <row r="16149" spans="1:2" x14ac:dyDescent="0.25">
      <c r="A16149" s="4">
        <v>16144</v>
      </c>
      <c r="B16149" s="3" t="str">
        <f>"201511020765"</f>
        <v>201511020765</v>
      </c>
    </row>
    <row r="16150" spans="1:2" x14ac:dyDescent="0.25">
      <c r="A16150" s="4">
        <v>16145</v>
      </c>
      <c r="B16150" s="3" t="str">
        <f>"201511020772"</f>
        <v>201511020772</v>
      </c>
    </row>
    <row r="16151" spans="1:2" x14ac:dyDescent="0.25">
      <c r="A16151" s="4">
        <v>16146</v>
      </c>
      <c r="B16151" s="3" t="str">
        <f>"201511020777"</f>
        <v>201511020777</v>
      </c>
    </row>
    <row r="16152" spans="1:2" x14ac:dyDescent="0.25">
      <c r="A16152" s="4">
        <v>16147</v>
      </c>
      <c r="B16152" s="3" t="str">
        <f>"201511020797"</f>
        <v>201511020797</v>
      </c>
    </row>
    <row r="16153" spans="1:2" x14ac:dyDescent="0.25">
      <c r="A16153" s="4">
        <v>16148</v>
      </c>
      <c r="B16153" s="3" t="str">
        <f>"201511020800"</f>
        <v>201511020800</v>
      </c>
    </row>
    <row r="16154" spans="1:2" x14ac:dyDescent="0.25">
      <c r="A16154" s="4">
        <v>16149</v>
      </c>
      <c r="B16154" s="3" t="str">
        <f>"201511020866"</f>
        <v>201511020866</v>
      </c>
    </row>
    <row r="16155" spans="1:2" x14ac:dyDescent="0.25">
      <c r="A16155" s="4">
        <v>16150</v>
      </c>
      <c r="B16155" s="3" t="str">
        <f>"201511020881"</f>
        <v>201511020881</v>
      </c>
    </row>
    <row r="16156" spans="1:2" x14ac:dyDescent="0.25">
      <c r="A16156" s="4">
        <v>16151</v>
      </c>
      <c r="B16156" s="3" t="str">
        <f>"201511020895"</f>
        <v>201511020895</v>
      </c>
    </row>
    <row r="16157" spans="1:2" x14ac:dyDescent="0.25">
      <c r="A16157" s="4">
        <v>16152</v>
      </c>
      <c r="B16157" s="3" t="str">
        <f>"201511020927"</f>
        <v>201511020927</v>
      </c>
    </row>
    <row r="16158" spans="1:2" x14ac:dyDescent="0.25">
      <c r="A16158" s="4">
        <v>16153</v>
      </c>
      <c r="B16158" s="3" t="str">
        <f>"201511020941"</f>
        <v>201511020941</v>
      </c>
    </row>
    <row r="16159" spans="1:2" x14ac:dyDescent="0.25">
      <c r="A16159" s="4">
        <v>16154</v>
      </c>
      <c r="B16159" s="3" t="str">
        <f>"201511020953"</f>
        <v>201511020953</v>
      </c>
    </row>
    <row r="16160" spans="1:2" x14ac:dyDescent="0.25">
      <c r="A16160" s="4">
        <v>16155</v>
      </c>
      <c r="B16160" s="3" t="str">
        <f>"201511020963"</f>
        <v>201511020963</v>
      </c>
    </row>
    <row r="16161" spans="1:2" x14ac:dyDescent="0.25">
      <c r="A16161" s="4">
        <v>16156</v>
      </c>
      <c r="B16161" s="3" t="str">
        <f>"201511020982"</f>
        <v>201511020982</v>
      </c>
    </row>
    <row r="16162" spans="1:2" x14ac:dyDescent="0.25">
      <c r="A16162" s="4">
        <v>16157</v>
      </c>
      <c r="B16162" s="3" t="str">
        <f>"201511020990"</f>
        <v>201511020990</v>
      </c>
    </row>
    <row r="16163" spans="1:2" x14ac:dyDescent="0.25">
      <c r="A16163" s="4">
        <v>16158</v>
      </c>
      <c r="B16163" s="3" t="str">
        <f>"201511021008"</f>
        <v>201511021008</v>
      </c>
    </row>
    <row r="16164" spans="1:2" x14ac:dyDescent="0.25">
      <c r="A16164" s="4">
        <v>16159</v>
      </c>
      <c r="B16164" s="3" t="str">
        <f>"201511021030"</f>
        <v>201511021030</v>
      </c>
    </row>
    <row r="16165" spans="1:2" x14ac:dyDescent="0.25">
      <c r="A16165" s="4">
        <v>16160</v>
      </c>
      <c r="B16165" s="3" t="str">
        <f>"201511021061"</f>
        <v>201511021061</v>
      </c>
    </row>
    <row r="16166" spans="1:2" x14ac:dyDescent="0.25">
      <c r="A16166" s="4">
        <v>16161</v>
      </c>
      <c r="B16166" s="3" t="str">
        <f>"201511021094"</f>
        <v>201511021094</v>
      </c>
    </row>
    <row r="16167" spans="1:2" x14ac:dyDescent="0.25">
      <c r="A16167" s="4">
        <v>16162</v>
      </c>
      <c r="B16167" s="3" t="str">
        <f>"201511021141"</f>
        <v>201511021141</v>
      </c>
    </row>
    <row r="16168" spans="1:2" x14ac:dyDescent="0.25">
      <c r="A16168" s="4">
        <v>16163</v>
      </c>
      <c r="B16168" s="3" t="str">
        <f>"201511021144"</f>
        <v>201511021144</v>
      </c>
    </row>
    <row r="16169" spans="1:2" x14ac:dyDescent="0.25">
      <c r="A16169" s="4">
        <v>16164</v>
      </c>
      <c r="B16169" s="3" t="str">
        <f>"201511021172"</f>
        <v>201511021172</v>
      </c>
    </row>
    <row r="16170" spans="1:2" x14ac:dyDescent="0.25">
      <c r="A16170" s="4">
        <v>16165</v>
      </c>
      <c r="B16170" s="3" t="str">
        <f>"201511021192"</f>
        <v>201511021192</v>
      </c>
    </row>
    <row r="16171" spans="1:2" x14ac:dyDescent="0.25">
      <c r="A16171" s="4">
        <v>16166</v>
      </c>
      <c r="B16171" s="3" t="str">
        <f>"201511021199"</f>
        <v>201511021199</v>
      </c>
    </row>
    <row r="16172" spans="1:2" x14ac:dyDescent="0.25">
      <c r="A16172" s="4">
        <v>16167</v>
      </c>
      <c r="B16172" s="3" t="str">
        <f>"201511021217"</f>
        <v>201511021217</v>
      </c>
    </row>
    <row r="16173" spans="1:2" x14ac:dyDescent="0.25">
      <c r="A16173" s="4">
        <v>16168</v>
      </c>
      <c r="B16173" s="3" t="str">
        <f>"201511021234"</f>
        <v>201511021234</v>
      </c>
    </row>
    <row r="16174" spans="1:2" x14ac:dyDescent="0.25">
      <c r="A16174" s="4">
        <v>16169</v>
      </c>
      <c r="B16174" s="3" t="str">
        <f>"201511021240"</f>
        <v>201511021240</v>
      </c>
    </row>
    <row r="16175" spans="1:2" x14ac:dyDescent="0.25">
      <c r="A16175" s="4">
        <v>16170</v>
      </c>
      <c r="B16175" s="3" t="str">
        <f>"201511021243"</f>
        <v>201511021243</v>
      </c>
    </row>
    <row r="16176" spans="1:2" x14ac:dyDescent="0.25">
      <c r="A16176" s="4">
        <v>16171</v>
      </c>
      <c r="B16176" s="3" t="str">
        <f>"201511021277"</f>
        <v>201511021277</v>
      </c>
    </row>
    <row r="16177" spans="1:2" x14ac:dyDescent="0.25">
      <c r="A16177" s="4">
        <v>16172</v>
      </c>
      <c r="B16177" s="3" t="str">
        <f>"201511021281"</f>
        <v>201511021281</v>
      </c>
    </row>
    <row r="16178" spans="1:2" x14ac:dyDescent="0.25">
      <c r="A16178" s="4">
        <v>16173</v>
      </c>
      <c r="B16178" s="3" t="str">
        <f>"201511021293"</f>
        <v>201511021293</v>
      </c>
    </row>
    <row r="16179" spans="1:2" x14ac:dyDescent="0.25">
      <c r="A16179" s="4">
        <v>16174</v>
      </c>
      <c r="B16179" s="3" t="str">
        <f>"201511021334"</f>
        <v>201511021334</v>
      </c>
    </row>
    <row r="16180" spans="1:2" x14ac:dyDescent="0.25">
      <c r="A16180" s="4">
        <v>16175</v>
      </c>
      <c r="B16180" s="3" t="str">
        <f>"201511021347"</f>
        <v>201511021347</v>
      </c>
    </row>
    <row r="16181" spans="1:2" x14ac:dyDescent="0.25">
      <c r="A16181" s="4">
        <v>16176</v>
      </c>
      <c r="B16181" s="3" t="str">
        <f>"201511021435"</f>
        <v>201511021435</v>
      </c>
    </row>
    <row r="16182" spans="1:2" x14ac:dyDescent="0.25">
      <c r="A16182" s="4">
        <v>16177</v>
      </c>
      <c r="B16182" s="3" t="str">
        <f>"201511021449"</f>
        <v>201511021449</v>
      </c>
    </row>
    <row r="16183" spans="1:2" x14ac:dyDescent="0.25">
      <c r="A16183" s="4">
        <v>16178</v>
      </c>
      <c r="B16183" s="3" t="str">
        <f>"201511021457"</f>
        <v>201511021457</v>
      </c>
    </row>
    <row r="16184" spans="1:2" x14ac:dyDescent="0.25">
      <c r="A16184" s="4">
        <v>16179</v>
      </c>
      <c r="B16184" s="3" t="str">
        <f>"201511021460"</f>
        <v>201511021460</v>
      </c>
    </row>
    <row r="16185" spans="1:2" x14ac:dyDescent="0.25">
      <c r="A16185" s="4">
        <v>16180</v>
      </c>
      <c r="B16185" s="3" t="str">
        <f>"201511021479"</f>
        <v>201511021479</v>
      </c>
    </row>
    <row r="16186" spans="1:2" x14ac:dyDescent="0.25">
      <c r="A16186" s="4">
        <v>16181</v>
      </c>
      <c r="B16186" s="3" t="str">
        <f>"201511021481"</f>
        <v>201511021481</v>
      </c>
    </row>
    <row r="16187" spans="1:2" x14ac:dyDescent="0.25">
      <c r="A16187" s="4">
        <v>16182</v>
      </c>
      <c r="B16187" s="3" t="str">
        <f>"201511021498"</f>
        <v>201511021498</v>
      </c>
    </row>
    <row r="16188" spans="1:2" x14ac:dyDescent="0.25">
      <c r="A16188" s="4">
        <v>16183</v>
      </c>
      <c r="B16188" s="3" t="str">
        <f>"201511021512"</f>
        <v>201511021512</v>
      </c>
    </row>
    <row r="16189" spans="1:2" x14ac:dyDescent="0.25">
      <c r="A16189" s="4">
        <v>16184</v>
      </c>
      <c r="B16189" s="3" t="str">
        <f>"201511021527"</f>
        <v>201511021527</v>
      </c>
    </row>
    <row r="16190" spans="1:2" x14ac:dyDescent="0.25">
      <c r="A16190" s="4">
        <v>16185</v>
      </c>
      <c r="B16190" s="3" t="str">
        <f>"201511021528"</f>
        <v>201511021528</v>
      </c>
    </row>
    <row r="16191" spans="1:2" x14ac:dyDescent="0.25">
      <c r="A16191" s="4">
        <v>16186</v>
      </c>
      <c r="B16191" s="3" t="str">
        <f>"201511021538"</f>
        <v>201511021538</v>
      </c>
    </row>
    <row r="16192" spans="1:2" x14ac:dyDescent="0.25">
      <c r="A16192" s="4">
        <v>16187</v>
      </c>
      <c r="B16192" s="3" t="str">
        <f>"201511021580"</f>
        <v>201511021580</v>
      </c>
    </row>
    <row r="16193" spans="1:2" x14ac:dyDescent="0.25">
      <c r="A16193" s="4">
        <v>16188</v>
      </c>
      <c r="B16193" s="3" t="str">
        <f>"201511021587"</f>
        <v>201511021587</v>
      </c>
    </row>
    <row r="16194" spans="1:2" x14ac:dyDescent="0.25">
      <c r="A16194" s="4">
        <v>16189</v>
      </c>
      <c r="B16194" s="3" t="str">
        <f>"201511021592"</f>
        <v>201511021592</v>
      </c>
    </row>
    <row r="16195" spans="1:2" x14ac:dyDescent="0.25">
      <c r="A16195" s="4">
        <v>16190</v>
      </c>
      <c r="B16195" s="3" t="str">
        <f>"201511021619"</f>
        <v>201511021619</v>
      </c>
    </row>
    <row r="16196" spans="1:2" x14ac:dyDescent="0.25">
      <c r="A16196" s="4">
        <v>16191</v>
      </c>
      <c r="B16196" s="3" t="str">
        <f>"201511021631"</f>
        <v>201511021631</v>
      </c>
    </row>
    <row r="16197" spans="1:2" x14ac:dyDescent="0.25">
      <c r="A16197" s="4">
        <v>16192</v>
      </c>
      <c r="B16197" s="3" t="str">
        <f>"201511021648"</f>
        <v>201511021648</v>
      </c>
    </row>
    <row r="16198" spans="1:2" x14ac:dyDescent="0.25">
      <c r="A16198" s="4">
        <v>16193</v>
      </c>
      <c r="B16198" s="3" t="str">
        <f>"201511021688"</f>
        <v>201511021688</v>
      </c>
    </row>
    <row r="16199" spans="1:2" x14ac:dyDescent="0.25">
      <c r="A16199" s="4">
        <v>16194</v>
      </c>
      <c r="B16199" s="3" t="str">
        <f>"201511021707"</f>
        <v>201511021707</v>
      </c>
    </row>
    <row r="16200" spans="1:2" x14ac:dyDescent="0.25">
      <c r="A16200" s="4">
        <v>16195</v>
      </c>
      <c r="B16200" s="3" t="str">
        <f>"201511021709"</f>
        <v>201511021709</v>
      </c>
    </row>
    <row r="16201" spans="1:2" x14ac:dyDescent="0.25">
      <c r="A16201" s="4">
        <v>16196</v>
      </c>
      <c r="B16201" s="3" t="str">
        <f>"201511021711"</f>
        <v>201511021711</v>
      </c>
    </row>
    <row r="16202" spans="1:2" x14ac:dyDescent="0.25">
      <c r="A16202" s="4">
        <v>16197</v>
      </c>
      <c r="B16202" s="3" t="str">
        <f>"201511021720"</f>
        <v>201511021720</v>
      </c>
    </row>
    <row r="16203" spans="1:2" x14ac:dyDescent="0.25">
      <c r="A16203" s="4">
        <v>16198</v>
      </c>
      <c r="B16203" s="3" t="str">
        <f>"201511021760"</f>
        <v>201511021760</v>
      </c>
    </row>
    <row r="16204" spans="1:2" x14ac:dyDescent="0.25">
      <c r="A16204" s="4">
        <v>16199</v>
      </c>
      <c r="B16204" s="3" t="str">
        <f>"201511021764"</f>
        <v>201511021764</v>
      </c>
    </row>
    <row r="16205" spans="1:2" x14ac:dyDescent="0.25">
      <c r="A16205" s="4">
        <v>16200</v>
      </c>
      <c r="B16205" s="3" t="str">
        <f>"201511021774"</f>
        <v>201511021774</v>
      </c>
    </row>
    <row r="16206" spans="1:2" x14ac:dyDescent="0.25">
      <c r="A16206" s="4">
        <v>16201</v>
      </c>
      <c r="B16206" s="3" t="str">
        <f>"201511021786"</f>
        <v>201511021786</v>
      </c>
    </row>
    <row r="16207" spans="1:2" x14ac:dyDescent="0.25">
      <c r="A16207" s="4">
        <v>16202</v>
      </c>
      <c r="B16207" s="3" t="str">
        <f>"201511021787"</f>
        <v>201511021787</v>
      </c>
    </row>
    <row r="16208" spans="1:2" x14ac:dyDescent="0.25">
      <c r="A16208" s="4">
        <v>16203</v>
      </c>
      <c r="B16208" s="3" t="str">
        <f>"201511021797"</f>
        <v>201511021797</v>
      </c>
    </row>
    <row r="16209" spans="1:2" x14ac:dyDescent="0.25">
      <c r="A16209" s="4">
        <v>16204</v>
      </c>
      <c r="B16209" s="3" t="str">
        <f>"201511021804"</f>
        <v>201511021804</v>
      </c>
    </row>
    <row r="16210" spans="1:2" x14ac:dyDescent="0.25">
      <c r="A16210" s="4">
        <v>16205</v>
      </c>
      <c r="B16210" s="3" t="str">
        <f>"201511021821"</f>
        <v>201511021821</v>
      </c>
    </row>
    <row r="16211" spans="1:2" x14ac:dyDescent="0.25">
      <c r="A16211" s="4">
        <v>16206</v>
      </c>
      <c r="B16211" s="3" t="str">
        <f>"201511021829"</f>
        <v>201511021829</v>
      </c>
    </row>
    <row r="16212" spans="1:2" x14ac:dyDescent="0.25">
      <c r="A16212" s="4">
        <v>16207</v>
      </c>
      <c r="B16212" s="3" t="str">
        <f>"201511021832"</f>
        <v>201511021832</v>
      </c>
    </row>
    <row r="16213" spans="1:2" x14ac:dyDescent="0.25">
      <c r="A16213" s="4">
        <v>16208</v>
      </c>
      <c r="B16213" s="3" t="str">
        <f>"201511021854"</f>
        <v>201511021854</v>
      </c>
    </row>
    <row r="16214" spans="1:2" x14ac:dyDescent="0.25">
      <c r="A16214" s="4">
        <v>16209</v>
      </c>
      <c r="B16214" s="3" t="str">
        <f>"201511021895"</f>
        <v>201511021895</v>
      </c>
    </row>
    <row r="16215" spans="1:2" x14ac:dyDescent="0.25">
      <c r="A16215" s="4">
        <v>16210</v>
      </c>
      <c r="B16215" s="3" t="str">
        <f>"201511021900"</f>
        <v>201511021900</v>
      </c>
    </row>
    <row r="16216" spans="1:2" x14ac:dyDescent="0.25">
      <c r="A16216" s="4">
        <v>16211</v>
      </c>
      <c r="B16216" s="3" t="str">
        <f>"201511021945"</f>
        <v>201511021945</v>
      </c>
    </row>
    <row r="16217" spans="1:2" x14ac:dyDescent="0.25">
      <c r="A16217" s="4">
        <v>16212</v>
      </c>
      <c r="B16217" s="3" t="str">
        <f>"201511021949"</f>
        <v>201511021949</v>
      </c>
    </row>
    <row r="16218" spans="1:2" x14ac:dyDescent="0.25">
      <c r="A16218" s="4">
        <v>16213</v>
      </c>
      <c r="B16218" s="3" t="str">
        <f>"201511021967"</f>
        <v>201511021967</v>
      </c>
    </row>
    <row r="16219" spans="1:2" x14ac:dyDescent="0.25">
      <c r="A16219" s="4">
        <v>16214</v>
      </c>
      <c r="B16219" s="3" t="str">
        <f>"201511021980"</f>
        <v>201511021980</v>
      </c>
    </row>
    <row r="16220" spans="1:2" x14ac:dyDescent="0.25">
      <c r="A16220" s="4">
        <v>16215</v>
      </c>
      <c r="B16220" s="3" t="str">
        <f>"201511021990"</f>
        <v>201511021990</v>
      </c>
    </row>
    <row r="16221" spans="1:2" x14ac:dyDescent="0.25">
      <c r="A16221" s="4">
        <v>16216</v>
      </c>
      <c r="B16221" s="3" t="str">
        <f>"201511021991"</f>
        <v>201511021991</v>
      </c>
    </row>
    <row r="16222" spans="1:2" x14ac:dyDescent="0.25">
      <c r="A16222" s="4">
        <v>16217</v>
      </c>
      <c r="B16222" s="3" t="str">
        <f>"201511022000"</f>
        <v>201511022000</v>
      </c>
    </row>
    <row r="16223" spans="1:2" x14ac:dyDescent="0.25">
      <c r="A16223" s="4">
        <v>16218</v>
      </c>
      <c r="B16223" s="3" t="str">
        <f>"201511022018"</f>
        <v>201511022018</v>
      </c>
    </row>
    <row r="16224" spans="1:2" x14ac:dyDescent="0.25">
      <c r="A16224" s="4">
        <v>16219</v>
      </c>
      <c r="B16224" s="3" t="str">
        <f>"201511022060"</f>
        <v>201511022060</v>
      </c>
    </row>
    <row r="16225" spans="1:2" x14ac:dyDescent="0.25">
      <c r="A16225" s="4">
        <v>16220</v>
      </c>
      <c r="B16225" s="3" t="str">
        <f>"201511022061"</f>
        <v>201511022061</v>
      </c>
    </row>
    <row r="16226" spans="1:2" x14ac:dyDescent="0.25">
      <c r="A16226" s="4">
        <v>16221</v>
      </c>
      <c r="B16226" s="3" t="str">
        <f>"201511022079"</f>
        <v>201511022079</v>
      </c>
    </row>
    <row r="16227" spans="1:2" x14ac:dyDescent="0.25">
      <c r="A16227" s="4">
        <v>16222</v>
      </c>
      <c r="B16227" s="3" t="str">
        <f>"201511022093"</f>
        <v>201511022093</v>
      </c>
    </row>
    <row r="16228" spans="1:2" x14ac:dyDescent="0.25">
      <c r="A16228" s="4">
        <v>16223</v>
      </c>
      <c r="B16228" s="3" t="str">
        <f>"201511022101"</f>
        <v>201511022101</v>
      </c>
    </row>
    <row r="16229" spans="1:2" x14ac:dyDescent="0.25">
      <c r="A16229" s="4">
        <v>16224</v>
      </c>
      <c r="B16229" s="3" t="str">
        <f>"201511022120"</f>
        <v>201511022120</v>
      </c>
    </row>
    <row r="16230" spans="1:2" x14ac:dyDescent="0.25">
      <c r="A16230" s="4">
        <v>16225</v>
      </c>
      <c r="B16230" s="3" t="str">
        <f>"201511022123"</f>
        <v>201511022123</v>
      </c>
    </row>
    <row r="16231" spans="1:2" x14ac:dyDescent="0.25">
      <c r="A16231" s="4">
        <v>16226</v>
      </c>
      <c r="B16231" s="3" t="str">
        <f>"201511022137"</f>
        <v>201511022137</v>
      </c>
    </row>
    <row r="16232" spans="1:2" x14ac:dyDescent="0.25">
      <c r="A16232" s="4">
        <v>16227</v>
      </c>
      <c r="B16232" s="3" t="str">
        <f>"201511022153"</f>
        <v>201511022153</v>
      </c>
    </row>
    <row r="16233" spans="1:2" x14ac:dyDescent="0.25">
      <c r="A16233" s="4">
        <v>16228</v>
      </c>
      <c r="B16233" s="3" t="str">
        <f>"201511022160"</f>
        <v>201511022160</v>
      </c>
    </row>
    <row r="16234" spans="1:2" x14ac:dyDescent="0.25">
      <c r="A16234" s="4">
        <v>16229</v>
      </c>
      <c r="B16234" s="3" t="str">
        <f>"201511022185"</f>
        <v>201511022185</v>
      </c>
    </row>
    <row r="16235" spans="1:2" x14ac:dyDescent="0.25">
      <c r="A16235" s="4">
        <v>16230</v>
      </c>
      <c r="B16235" s="3" t="str">
        <f>"201511022211"</f>
        <v>201511022211</v>
      </c>
    </row>
    <row r="16236" spans="1:2" x14ac:dyDescent="0.25">
      <c r="A16236" s="4">
        <v>16231</v>
      </c>
      <c r="B16236" s="3" t="str">
        <f>"201511022227"</f>
        <v>201511022227</v>
      </c>
    </row>
    <row r="16237" spans="1:2" x14ac:dyDescent="0.25">
      <c r="A16237" s="4">
        <v>16232</v>
      </c>
      <c r="B16237" s="3" t="str">
        <f>"201511022228"</f>
        <v>201511022228</v>
      </c>
    </row>
    <row r="16238" spans="1:2" x14ac:dyDescent="0.25">
      <c r="A16238" s="4">
        <v>16233</v>
      </c>
      <c r="B16238" s="3" t="str">
        <f>"201511022244"</f>
        <v>201511022244</v>
      </c>
    </row>
    <row r="16239" spans="1:2" x14ac:dyDescent="0.25">
      <c r="A16239" s="4">
        <v>16234</v>
      </c>
      <c r="B16239" s="3" t="str">
        <f>"201511022251"</f>
        <v>201511022251</v>
      </c>
    </row>
    <row r="16240" spans="1:2" x14ac:dyDescent="0.25">
      <c r="A16240" s="4">
        <v>16235</v>
      </c>
      <c r="B16240" s="3" t="str">
        <f>"201511022253"</f>
        <v>201511022253</v>
      </c>
    </row>
    <row r="16241" spans="1:2" x14ac:dyDescent="0.25">
      <c r="A16241" s="4">
        <v>16236</v>
      </c>
      <c r="B16241" s="3" t="str">
        <f>"201511022258"</f>
        <v>201511022258</v>
      </c>
    </row>
    <row r="16242" spans="1:2" x14ac:dyDescent="0.25">
      <c r="A16242" s="4">
        <v>16237</v>
      </c>
      <c r="B16242" s="3" t="str">
        <f>"201511022281"</f>
        <v>201511022281</v>
      </c>
    </row>
    <row r="16243" spans="1:2" x14ac:dyDescent="0.25">
      <c r="A16243" s="4">
        <v>16238</v>
      </c>
      <c r="B16243" s="3" t="str">
        <f>"201511022293"</f>
        <v>201511022293</v>
      </c>
    </row>
    <row r="16244" spans="1:2" x14ac:dyDescent="0.25">
      <c r="A16244" s="4">
        <v>16239</v>
      </c>
      <c r="B16244" s="3" t="str">
        <f>"201511022323"</f>
        <v>201511022323</v>
      </c>
    </row>
    <row r="16245" spans="1:2" x14ac:dyDescent="0.25">
      <c r="A16245" s="4">
        <v>16240</v>
      </c>
      <c r="B16245" s="3" t="str">
        <f>"201511022330"</f>
        <v>201511022330</v>
      </c>
    </row>
    <row r="16246" spans="1:2" x14ac:dyDescent="0.25">
      <c r="A16246" s="4">
        <v>16241</v>
      </c>
      <c r="B16246" s="3" t="str">
        <f>"201511022345"</f>
        <v>201511022345</v>
      </c>
    </row>
    <row r="16247" spans="1:2" x14ac:dyDescent="0.25">
      <c r="A16247" s="4">
        <v>16242</v>
      </c>
      <c r="B16247" s="3" t="str">
        <f>"201511022358"</f>
        <v>201511022358</v>
      </c>
    </row>
    <row r="16248" spans="1:2" x14ac:dyDescent="0.25">
      <c r="A16248" s="4">
        <v>16243</v>
      </c>
      <c r="B16248" s="3" t="str">
        <f>"201511022399"</f>
        <v>201511022399</v>
      </c>
    </row>
    <row r="16249" spans="1:2" x14ac:dyDescent="0.25">
      <c r="A16249" s="4">
        <v>16244</v>
      </c>
      <c r="B16249" s="3" t="str">
        <f>"201511022416"</f>
        <v>201511022416</v>
      </c>
    </row>
    <row r="16250" spans="1:2" x14ac:dyDescent="0.25">
      <c r="A16250" s="4">
        <v>16245</v>
      </c>
      <c r="B16250" s="3" t="str">
        <f>"201511022443"</f>
        <v>201511022443</v>
      </c>
    </row>
    <row r="16251" spans="1:2" x14ac:dyDescent="0.25">
      <c r="A16251" s="4">
        <v>16246</v>
      </c>
      <c r="B16251" s="3" t="str">
        <f>"201511022451"</f>
        <v>201511022451</v>
      </c>
    </row>
    <row r="16252" spans="1:2" x14ac:dyDescent="0.25">
      <c r="A16252" s="4">
        <v>16247</v>
      </c>
      <c r="B16252" s="3" t="str">
        <f>"201511022471"</f>
        <v>201511022471</v>
      </c>
    </row>
    <row r="16253" spans="1:2" x14ac:dyDescent="0.25">
      <c r="A16253" s="4">
        <v>16248</v>
      </c>
      <c r="B16253" s="3" t="str">
        <f>"201511022473"</f>
        <v>201511022473</v>
      </c>
    </row>
    <row r="16254" spans="1:2" x14ac:dyDescent="0.25">
      <c r="A16254" s="4">
        <v>16249</v>
      </c>
      <c r="B16254" s="3" t="str">
        <f>"201511022597"</f>
        <v>201511022597</v>
      </c>
    </row>
    <row r="16255" spans="1:2" x14ac:dyDescent="0.25">
      <c r="A16255" s="4">
        <v>16250</v>
      </c>
      <c r="B16255" s="3" t="str">
        <f>"201511022601"</f>
        <v>201511022601</v>
      </c>
    </row>
    <row r="16256" spans="1:2" x14ac:dyDescent="0.25">
      <c r="A16256" s="4">
        <v>16251</v>
      </c>
      <c r="B16256" s="3" t="str">
        <f>"201511022647"</f>
        <v>201511022647</v>
      </c>
    </row>
    <row r="16257" spans="1:2" x14ac:dyDescent="0.25">
      <c r="A16257" s="4">
        <v>16252</v>
      </c>
      <c r="B16257" s="3" t="str">
        <f>"201511022702"</f>
        <v>201511022702</v>
      </c>
    </row>
    <row r="16258" spans="1:2" x14ac:dyDescent="0.25">
      <c r="A16258" s="4">
        <v>16253</v>
      </c>
      <c r="B16258" s="3" t="str">
        <f>"201511022706"</f>
        <v>201511022706</v>
      </c>
    </row>
    <row r="16259" spans="1:2" x14ac:dyDescent="0.25">
      <c r="A16259" s="4">
        <v>16254</v>
      </c>
      <c r="B16259" s="3" t="str">
        <f>"201511022719"</f>
        <v>201511022719</v>
      </c>
    </row>
    <row r="16260" spans="1:2" x14ac:dyDescent="0.25">
      <c r="A16260" s="4">
        <v>16255</v>
      </c>
      <c r="B16260" s="3" t="str">
        <f>"201511022729"</f>
        <v>201511022729</v>
      </c>
    </row>
    <row r="16261" spans="1:2" x14ac:dyDescent="0.25">
      <c r="A16261" s="4">
        <v>16256</v>
      </c>
      <c r="B16261" s="3" t="str">
        <f>"201511022734"</f>
        <v>201511022734</v>
      </c>
    </row>
    <row r="16262" spans="1:2" x14ac:dyDescent="0.25">
      <c r="A16262" s="4">
        <v>16257</v>
      </c>
      <c r="B16262" s="3" t="str">
        <f>"201511022741"</f>
        <v>201511022741</v>
      </c>
    </row>
    <row r="16263" spans="1:2" x14ac:dyDescent="0.25">
      <c r="A16263" s="4">
        <v>16258</v>
      </c>
      <c r="B16263" s="3" t="str">
        <f>"201511022770"</f>
        <v>201511022770</v>
      </c>
    </row>
    <row r="16264" spans="1:2" x14ac:dyDescent="0.25">
      <c r="A16264" s="4">
        <v>16259</v>
      </c>
      <c r="B16264" s="3" t="str">
        <f>"201511022781"</f>
        <v>201511022781</v>
      </c>
    </row>
    <row r="16265" spans="1:2" x14ac:dyDescent="0.25">
      <c r="A16265" s="4">
        <v>16260</v>
      </c>
      <c r="B16265" s="3" t="str">
        <f>"201511022782"</f>
        <v>201511022782</v>
      </c>
    </row>
    <row r="16266" spans="1:2" x14ac:dyDescent="0.25">
      <c r="A16266" s="4">
        <v>16261</v>
      </c>
      <c r="B16266" s="3" t="str">
        <f>"201511022788"</f>
        <v>201511022788</v>
      </c>
    </row>
    <row r="16267" spans="1:2" x14ac:dyDescent="0.25">
      <c r="A16267" s="4">
        <v>16262</v>
      </c>
      <c r="B16267" s="3" t="str">
        <f>"201511022804"</f>
        <v>201511022804</v>
      </c>
    </row>
    <row r="16268" spans="1:2" x14ac:dyDescent="0.25">
      <c r="A16268" s="4">
        <v>16263</v>
      </c>
      <c r="B16268" s="3" t="str">
        <f>"201511022825"</f>
        <v>201511022825</v>
      </c>
    </row>
    <row r="16269" spans="1:2" x14ac:dyDescent="0.25">
      <c r="A16269" s="4">
        <v>16264</v>
      </c>
      <c r="B16269" s="3" t="str">
        <f>"201511022827"</f>
        <v>201511022827</v>
      </c>
    </row>
    <row r="16270" spans="1:2" x14ac:dyDescent="0.25">
      <c r="A16270" s="4">
        <v>16265</v>
      </c>
      <c r="B16270" s="3" t="str">
        <f>"201511022836"</f>
        <v>201511022836</v>
      </c>
    </row>
    <row r="16271" spans="1:2" x14ac:dyDescent="0.25">
      <c r="A16271" s="4">
        <v>16266</v>
      </c>
      <c r="B16271" s="3" t="str">
        <f>"201511022838"</f>
        <v>201511022838</v>
      </c>
    </row>
    <row r="16272" spans="1:2" x14ac:dyDescent="0.25">
      <c r="A16272" s="4">
        <v>16267</v>
      </c>
      <c r="B16272" s="3" t="str">
        <f>"201511022950"</f>
        <v>201511022950</v>
      </c>
    </row>
    <row r="16273" spans="1:2" x14ac:dyDescent="0.25">
      <c r="A16273" s="4">
        <v>16268</v>
      </c>
      <c r="B16273" s="3" t="str">
        <f>"201511022955"</f>
        <v>201511022955</v>
      </c>
    </row>
    <row r="16274" spans="1:2" x14ac:dyDescent="0.25">
      <c r="A16274" s="4">
        <v>16269</v>
      </c>
      <c r="B16274" s="3" t="str">
        <f>"201511022993"</f>
        <v>201511022993</v>
      </c>
    </row>
    <row r="16275" spans="1:2" x14ac:dyDescent="0.25">
      <c r="A16275" s="4">
        <v>16270</v>
      </c>
      <c r="B16275" s="3" t="str">
        <f>"201511022999"</f>
        <v>201511022999</v>
      </c>
    </row>
    <row r="16276" spans="1:2" x14ac:dyDescent="0.25">
      <c r="A16276" s="4">
        <v>16271</v>
      </c>
      <c r="B16276" s="3" t="str">
        <f>"201511023029"</f>
        <v>201511023029</v>
      </c>
    </row>
    <row r="16277" spans="1:2" x14ac:dyDescent="0.25">
      <c r="A16277" s="4">
        <v>16272</v>
      </c>
      <c r="B16277" s="3" t="str">
        <f>"201511023033"</f>
        <v>201511023033</v>
      </c>
    </row>
    <row r="16278" spans="1:2" x14ac:dyDescent="0.25">
      <c r="A16278" s="4">
        <v>16273</v>
      </c>
      <c r="B16278" s="3" t="str">
        <f>"201511023111"</f>
        <v>201511023111</v>
      </c>
    </row>
    <row r="16279" spans="1:2" x14ac:dyDescent="0.25">
      <c r="A16279" s="4">
        <v>16274</v>
      </c>
      <c r="B16279" s="3" t="str">
        <f>"201511023121"</f>
        <v>201511023121</v>
      </c>
    </row>
    <row r="16280" spans="1:2" x14ac:dyDescent="0.25">
      <c r="A16280" s="4">
        <v>16275</v>
      </c>
      <c r="B16280" s="3" t="str">
        <f>"201511023143"</f>
        <v>201511023143</v>
      </c>
    </row>
    <row r="16281" spans="1:2" x14ac:dyDescent="0.25">
      <c r="A16281" s="4">
        <v>16276</v>
      </c>
      <c r="B16281" s="3" t="str">
        <f>"201511023183"</f>
        <v>201511023183</v>
      </c>
    </row>
    <row r="16282" spans="1:2" x14ac:dyDescent="0.25">
      <c r="A16282" s="4">
        <v>16277</v>
      </c>
      <c r="B16282" s="3" t="str">
        <f>"201511023200"</f>
        <v>201511023200</v>
      </c>
    </row>
    <row r="16283" spans="1:2" x14ac:dyDescent="0.25">
      <c r="A16283" s="4">
        <v>16278</v>
      </c>
      <c r="B16283" s="3" t="str">
        <f>"201511023228"</f>
        <v>201511023228</v>
      </c>
    </row>
    <row r="16284" spans="1:2" x14ac:dyDescent="0.25">
      <c r="A16284" s="4">
        <v>16279</v>
      </c>
      <c r="B16284" s="3" t="str">
        <f>"201511023231"</f>
        <v>201511023231</v>
      </c>
    </row>
    <row r="16285" spans="1:2" x14ac:dyDescent="0.25">
      <c r="A16285" s="4">
        <v>16280</v>
      </c>
      <c r="B16285" s="3" t="str">
        <f>"201511023232"</f>
        <v>201511023232</v>
      </c>
    </row>
    <row r="16286" spans="1:2" x14ac:dyDescent="0.25">
      <c r="A16286" s="4">
        <v>16281</v>
      </c>
      <c r="B16286" s="3" t="str">
        <f>"201511023263"</f>
        <v>201511023263</v>
      </c>
    </row>
    <row r="16287" spans="1:2" x14ac:dyDescent="0.25">
      <c r="A16287" s="4">
        <v>16282</v>
      </c>
      <c r="B16287" s="3" t="str">
        <f>"201511023292"</f>
        <v>201511023292</v>
      </c>
    </row>
    <row r="16288" spans="1:2" x14ac:dyDescent="0.25">
      <c r="A16288" s="4">
        <v>16283</v>
      </c>
      <c r="B16288" s="3" t="str">
        <f>"201511023307"</f>
        <v>201511023307</v>
      </c>
    </row>
    <row r="16289" spans="1:2" x14ac:dyDescent="0.25">
      <c r="A16289" s="4">
        <v>16284</v>
      </c>
      <c r="B16289" s="3" t="str">
        <f>"201511023322"</f>
        <v>201511023322</v>
      </c>
    </row>
    <row r="16290" spans="1:2" x14ac:dyDescent="0.25">
      <c r="A16290" s="4">
        <v>16285</v>
      </c>
      <c r="B16290" s="3" t="str">
        <f>"201511023329"</f>
        <v>201511023329</v>
      </c>
    </row>
    <row r="16291" spans="1:2" x14ac:dyDescent="0.25">
      <c r="A16291" s="4">
        <v>16286</v>
      </c>
      <c r="B16291" s="3" t="str">
        <f>"201511023345"</f>
        <v>201511023345</v>
      </c>
    </row>
    <row r="16292" spans="1:2" x14ac:dyDescent="0.25">
      <c r="A16292" s="4">
        <v>16287</v>
      </c>
      <c r="B16292" s="3" t="str">
        <f>"201511023360"</f>
        <v>201511023360</v>
      </c>
    </row>
    <row r="16293" spans="1:2" x14ac:dyDescent="0.25">
      <c r="A16293" s="4">
        <v>16288</v>
      </c>
      <c r="B16293" s="3" t="str">
        <f>"201511023362"</f>
        <v>201511023362</v>
      </c>
    </row>
    <row r="16294" spans="1:2" x14ac:dyDescent="0.25">
      <c r="A16294" s="4">
        <v>16289</v>
      </c>
      <c r="B16294" s="3" t="str">
        <f>"201511023364"</f>
        <v>201511023364</v>
      </c>
    </row>
    <row r="16295" spans="1:2" x14ac:dyDescent="0.25">
      <c r="A16295" s="4">
        <v>16290</v>
      </c>
      <c r="B16295" s="3" t="str">
        <f>"201511023403"</f>
        <v>201511023403</v>
      </c>
    </row>
    <row r="16296" spans="1:2" x14ac:dyDescent="0.25">
      <c r="A16296" s="4">
        <v>16291</v>
      </c>
      <c r="B16296" s="3" t="str">
        <f>"201511023447"</f>
        <v>201511023447</v>
      </c>
    </row>
    <row r="16297" spans="1:2" x14ac:dyDescent="0.25">
      <c r="A16297" s="4">
        <v>16292</v>
      </c>
      <c r="B16297" s="3" t="str">
        <f>"201511023454"</f>
        <v>201511023454</v>
      </c>
    </row>
    <row r="16298" spans="1:2" x14ac:dyDescent="0.25">
      <c r="A16298" s="4">
        <v>16293</v>
      </c>
      <c r="B16298" s="3" t="str">
        <f>"201511023459"</f>
        <v>201511023459</v>
      </c>
    </row>
    <row r="16299" spans="1:2" x14ac:dyDescent="0.25">
      <c r="A16299" s="4">
        <v>16294</v>
      </c>
      <c r="B16299" s="3" t="str">
        <f>"201511023494"</f>
        <v>201511023494</v>
      </c>
    </row>
    <row r="16300" spans="1:2" x14ac:dyDescent="0.25">
      <c r="A16300" s="4">
        <v>16295</v>
      </c>
      <c r="B16300" s="3" t="str">
        <f>"201511023504"</f>
        <v>201511023504</v>
      </c>
    </row>
    <row r="16301" spans="1:2" x14ac:dyDescent="0.25">
      <c r="A16301" s="4">
        <v>16296</v>
      </c>
      <c r="B16301" s="3" t="str">
        <f>"201511023508"</f>
        <v>201511023508</v>
      </c>
    </row>
    <row r="16302" spans="1:2" x14ac:dyDescent="0.25">
      <c r="A16302" s="4">
        <v>16297</v>
      </c>
      <c r="B16302" s="3" t="str">
        <f>"201511023521"</f>
        <v>201511023521</v>
      </c>
    </row>
    <row r="16303" spans="1:2" x14ac:dyDescent="0.25">
      <c r="A16303" s="4">
        <v>16298</v>
      </c>
      <c r="B16303" s="3" t="str">
        <f>"201511023552"</f>
        <v>201511023552</v>
      </c>
    </row>
    <row r="16304" spans="1:2" x14ac:dyDescent="0.25">
      <c r="A16304" s="4">
        <v>16299</v>
      </c>
      <c r="B16304" s="3" t="str">
        <f>"201511023573"</f>
        <v>201511023573</v>
      </c>
    </row>
    <row r="16305" spans="1:2" x14ac:dyDescent="0.25">
      <c r="A16305" s="4">
        <v>16300</v>
      </c>
      <c r="B16305" s="3" t="str">
        <f>"201511023628"</f>
        <v>201511023628</v>
      </c>
    </row>
    <row r="16306" spans="1:2" x14ac:dyDescent="0.25">
      <c r="A16306" s="4">
        <v>16301</v>
      </c>
      <c r="B16306" s="3" t="str">
        <f>"201511023632"</f>
        <v>201511023632</v>
      </c>
    </row>
    <row r="16307" spans="1:2" x14ac:dyDescent="0.25">
      <c r="A16307" s="4">
        <v>16302</v>
      </c>
      <c r="B16307" s="3" t="str">
        <f>"201511023681"</f>
        <v>201511023681</v>
      </c>
    </row>
    <row r="16308" spans="1:2" x14ac:dyDescent="0.25">
      <c r="A16308" s="4">
        <v>16303</v>
      </c>
      <c r="B16308" s="3" t="str">
        <f>"201511023738"</f>
        <v>201511023738</v>
      </c>
    </row>
    <row r="16309" spans="1:2" x14ac:dyDescent="0.25">
      <c r="A16309" s="4">
        <v>16304</v>
      </c>
      <c r="B16309" s="3" t="str">
        <f>"201511023797"</f>
        <v>201511023797</v>
      </c>
    </row>
    <row r="16310" spans="1:2" x14ac:dyDescent="0.25">
      <c r="A16310" s="4">
        <v>16305</v>
      </c>
      <c r="B16310" s="3" t="str">
        <f>"201511023855"</f>
        <v>201511023855</v>
      </c>
    </row>
    <row r="16311" spans="1:2" x14ac:dyDescent="0.25">
      <c r="A16311" s="4">
        <v>16306</v>
      </c>
      <c r="B16311" s="3" t="str">
        <f>"201511023871"</f>
        <v>201511023871</v>
      </c>
    </row>
    <row r="16312" spans="1:2" x14ac:dyDescent="0.25">
      <c r="A16312" s="4">
        <v>16307</v>
      </c>
      <c r="B16312" s="3" t="str">
        <f>"201511023875"</f>
        <v>201511023875</v>
      </c>
    </row>
    <row r="16313" spans="1:2" x14ac:dyDescent="0.25">
      <c r="A16313" s="4">
        <v>16308</v>
      </c>
      <c r="B16313" s="3" t="str">
        <f>"201511023877"</f>
        <v>201511023877</v>
      </c>
    </row>
    <row r="16314" spans="1:2" x14ac:dyDescent="0.25">
      <c r="A16314" s="4">
        <v>16309</v>
      </c>
      <c r="B16314" s="3" t="str">
        <f>"201511023882"</f>
        <v>201511023882</v>
      </c>
    </row>
    <row r="16315" spans="1:2" x14ac:dyDescent="0.25">
      <c r="A16315" s="4">
        <v>16310</v>
      </c>
      <c r="B16315" s="3" t="str">
        <f>"201511023900"</f>
        <v>201511023900</v>
      </c>
    </row>
    <row r="16316" spans="1:2" x14ac:dyDescent="0.25">
      <c r="A16316" s="4">
        <v>16311</v>
      </c>
      <c r="B16316" s="3" t="str">
        <f>"201511023905"</f>
        <v>201511023905</v>
      </c>
    </row>
    <row r="16317" spans="1:2" x14ac:dyDescent="0.25">
      <c r="A16317" s="4">
        <v>16312</v>
      </c>
      <c r="B16317" s="3" t="str">
        <f>"201511023913"</f>
        <v>201511023913</v>
      </c>
    </row>
    <row r="16318" spans="1:2" x14ac:dyDescent="0.25">
      <c r="A16318" s="4">
        <v>16313</v>
      </c>
      <c r="B16318" s="3" t="str">
        <f>"201511023932"</f>
        <v>201511023932</v>
      </c>
    </row>
    <row r="16319" spans="1:2" x14ac:dyDescent="0.25">
      <c r="A16319" s="4">
        <v>16314</v>
      </c>
      <c r="B16319" s="3" t="str">
        <f>"201511023941"</f>
        <v>201511023941</v>
      </c>
    </row>
    <row r="16320" spans="1:2" x14ac:dyDescent="0.25">
      <c r="A16320" s="4">
        <v>16315</v>
      </c>
      <c r="B16320" s="3" t="str">
        <f>"201511023946"</f>
        <v>201511023946</v>
      </c>
    </row>
    <row r="16321" spans="1:2" x14ac:dyDescent="0.25">
      <c r="A16321" s="4">
        <v>16316</v>
      </c>
      <c r="B16321" s="3" t="str">
        <f>"201511023947"</f>
        <v>201511023947</v>
      </c>
    </row>
    <row r="16322" spans="1:2" x14ac:dyDescent="0.25">
      <c r="A16322" s="4">
        <v>16317</v>
      </c>
      <c r="B16322" s="3" t="str">
        <f>"201511023951"</f>
        <v>201511023951</v>
      </c>
    </row>
    <row r="16323" spans="1:2" x14ac:dyDescent="0.25">
      <c r="A16323" s="4">
        <v>16318</v>
      </c>
      <c r="B16323" s="3" t="str">
        <f>"201511023952"</f>
        <v>201511023952</v>
      </c>
    </row>
    <row r="16324" spans="1:2" x14ac:dyDescent="0.25">
      <c r="A16324" s="4">
        <v>16319</v>
      </c>
      <c r="B16324" s="3" t="str">
        <f>"201511023984"</f>
        <v>201511023984</v>
      </c>
    </row>
    <row r="16325" spans="1:2" x14ac:dyDescent="0.25">
      <c r="A16325" s="4">
        <v>16320</v>
      </c>
      <c r="B16325" s="3" t="str">
        <f>"201511024015"</f>
        <v>201511024015</v>
      </c>
    </row>
    <row r="16326" spans="1:2" x14ac:dyDescent="0.25">
      <c r="A16326" s="4">
        <v>16321</v>
      </c>
      <c r="B16326" s="3" t="str">
        <f>"201511024039"</f>
        <v>201511024039</v>
      </c>
    </row>
    <row r="16327" spans="1:2" x14ac:dyDescent="0.25">
      <c r="A16327" s="4">
        <v>16322</v>
      </c>
      <c r="B16327" s="3" t="str">
        <f>"201511024046"</f>
        <v>201511024046</v>
      </c>
    </row>
    <row r="16328" spans="1:2" x14ac:dyDescent="0.25">
      <c r="A16328" s="4">
        <v>16323</v>
      </c>
      <c r="B16328" s="3" t="str">
        <f>"201511024063"</f>
        <v>201511024063</v>
      </c>
    </row>
    <row r="16329" spans="1:2" x14ac:dyDescent="0.25">
      <c r="A16329" s="4">
        <v>16324</v>
      </c>
      <c r="B16329" s="3" t="str">
        <f>"201511024070"</f>
        <v>201511024070</v>
      </c>
    </row>
    <row r="16330" spans="1:2" x14ac:dyDescent="0.25">
      <c r="A16330" s="4">
        <v>16325</v>
      </c>
      <c r="B16330" s="3" t="str">
        <f>"201511024089"</f>
        <v>201511024089</v>
      </c>
    </row>
    <row r="16331" spans="1:2" x14ac:dyDescent="0.25">
      <c r="A16331" s="4">
        <v>16326</v>
      </c>
      <c r="B16331" s="3" t="str">
        <f>"201511024091"</f>
        <v>201511024091</v>
      </c>
    </row>
    <row r="16332" spans="1:2" x14ac:dyDescent="0.25">
      <c r="A16332" s="4">
        <v>16327</v>
      </c>
      <c r="B16332" s="3" t="str">
        <f>"201511024098"</f>
        <v>201511024098</v>
      </c>
    </row>
    <row r="16333" spans="1:2" x14ac:dyDescent="0.25">
      <c r="A16333" s="4">
        <v>16328</v>
      </c>
      <c r="B16333" s="3" t="str">
        <f>"201511024104"</f>
        <v>201511024104</v>
      </c>
    </row>
    <row r="16334" spans="1:2" x14ac:dyDescent="0.25">
      <c r="A16334" s="4">
        <v>16329</v>
      </c>
      <c r="B16334" s="3" t="str">
        <f>"201511024105"</f>
        <v>201511024105</v>
      </c>
    </row>
    <row r="16335" spans="1:2" x14ac:dyDescent="0.25">
      <c r="A16335" s="4">
        <v>16330</v>
      </c>
      <c r="B16335" s="3" t="str">
        <f>"201511024106"</f>
        <v>201511024106</v>
      </c>
    </row>
    <row r="16336" spans="1:2" x14ac:dyDescent="0.25">
      <c r="A16336" s="4">
        <v>16331</v>
      </c>
      <c r="B16336" s="3" t="str">
        <f>"201511024129"</f>
        <v>201511024129</v>
      </c>
    </row>
    <row r="16337" spans="1:2" x14ac:dyDescent="0.25">
      <c r="A16337" s="4">
        <v>16332</v>
      </c>
      <c r="B16337" s="3" t="str">
        <f>"201511024153"</f>
        <v>201511024153</v>
      </c>
    </row>
    <row r="16338" spans="1:2" x14ac:dyDescent="0.25">
      <c r="A16338" s="4">
        <v>16333</v>
      </c>
      <c r="B16338" s="3" t="str">
        <f>"201511024194"</f>
        <v>201511024194</v>
      </c>
    </row>
    <row r="16339" spans="1:2" x14ac:dyDescent="0.25">
      <c r="A16339" s="4">
        <v>16334</v>
      </c>
      <c r="B16339" s="3" t="str">
        <f>"201511024202"</f>
        <v>201511024202</v>
      </c>
    </row>
    <row r="16340" spans="1:2" x14ac:dyDescent="0.25">
      <c r="A16340" s="4">
        <v>16335</v>
      </c>
      <c r="B16340" s="3" t="str">
        <f>"201511024225"</f>
        <v>201511024225</v>
      </c>
    </row>
    <row r="16341" spans="1:2" x14ac:dyDescent="0.25">
      <c r="A16341" s="4">
        <v>16336</v>
      </c>
      <c r="B16341" s="3" t="str">
        <f>"201511024233"</f>
        <v>201511024233</v>
      </c>
    </row>
    <row r="16342" spans="1:2" x14ac:dyDescent="0.25">
      <c r="A16342" s="4">
        <v>16337</v>
      </c>
      <c r="B16342" s="3" t="str">
        <f>"201511024239"</f>
        <v>201511024239</v>
      </c>
    </row>
    <row r="16343" spans="1:2" x14ac:dyDescent="0.25">
      <c r="A16343" s="4">
        <v>16338</v>
      </c>
      <c r="B16343" s="3" t="str">
        <f>"201511024250"</f>
        <v>201511024250</v>
      </c>
    </row>
    <row r="16344" spans="1:2" x14ac:dyDescent="0.25">
      <c r="A16344" s="4">
        <v>16339</v>
      </c>
      <c r="B16344" s="3" t="str">
        <f>"201511024252"</f>
        <v>201511024252</v>
      </c>
    </row>
    <row r="16345" spans="1:2" x14ac:dyDescent="0.25">
      <c r="A16345" s="4">
        <v>16340</v>
      </c>
      <c r="B16345" s="3" t="str">
        <f>"201511024267"</f>
        <v>201511024267</v>
      </c>
    </row>
    <row r="16346" spans="1:2" x14ac:dyDescent="0.25">
      <c r="A16346" s="4">
        <v>16341</v>
      </c>
      <c r="B16346" s="3" t="str">
        <f>"201511024294"</f>
        <v>201511024294</v>
      </c>
    </row>
    <row r="16347" spans="1:2" x14ac:dyDescent="0.25">
      <c r="A16347" s="4">
        <v>16342</v>
      </c>
      <c r="B16347" s="3" t="str">
        <f>"201511024299"</f>
        <v>201511024299</v>
      </c>
    </row>
    <row r="16348" spans="1:2" x14ac:dyDescent="0.25">
      <c r="A16348" s="4">
        <v>16343</v>
      </c>
      <c r="B16348" s="3" t="str">
        <f>"201511024301"</f>
        <v>201511024301</v>
      </c>
    </row>
    <row r="16349" spans="1:2" x14ac:dyDescent="0.25">
      <c r="A16349" s="4">
        <v>16344</v>
      </c>
      <c r="B16349" s="3" t="str">
        <f>"201511024367"</f>
        <v>201511024367</v>
      </c>
    </row>
    <row r="16350" spans="1:2" x14ac:dyDescent="0.25">
      <c r="A16350" s="4">
        <v>16345</v>
      </c>
      <c r="B16350" s="3" t="str">
        <f>"201511024403"</f>
        <v>201511024403</v>
      </c>
    </row>
    <row r="16351" spans="1:2" x14ac:dyDescent="0.25">
      <c r="A16351" s="4">
        <v>16346</v>
      </c>
      <c r="B16351" s="3" t="str">
        <f>"201511024437"</f>
        <v>201511024437</v>
      </c>
    </row>
    <row r="16352" spans="1:2" x14ac:dyDescent="0.25">
      <c r="A16352" s="4">
        <v>16347</v>
      </c>
      <c r="B16352" s="3" t="str">
        <f>"201511024440"</f>
        <v>201511024440</v>
      </c>
    </row>
    <row r="16353" spans="1:2" x14ac:dyDescent="0.25">
      <c r="A16353" s="4">
        <v>16348</v>
      </c>
      <c r="B16353" s="3" t="str">
        <f>"201511024444"</f>
        <v>201511024444</v>
      </c>
    </row>
    <row r="16354" spans="1:2" x14ac:dyDescent="0.25">
      <c r="A16354" s="4">
        <v>16349</v>
      </c>
      <c r="B16354" s="3" t="str">
        <f>"201511024462"</f>
        <v>201511024462</v>
      </c>
    </row>
    <row r="16355" spans="1:2" x14ac:dyDescent="0.25">
      <c r="A16355" s="4">
        <v>16350</v>
      </c>
      <c r="B16355" s="3" t="str">
        <f>"201511024469"</f>
        <v>201511024469</v>
      </c>
    </row>
    <row r="16356" spans="1:2" x14ac:dyDescent="0.25">
      <c r="A16356" s="4">
        <v>16351</v>
      </c>
      <c r="B16356" s="3" t="str">
        <f>"201511024472"</f>
        <v>201511024472</v>
      </c>
    </row>
    <row r="16357" spans="1:2" x14ac:dyDescent="0.25">
      <c r="A16357" s="4">
        <v>16352</v>
      </c>
      <c r="B16357" s="3" t="str">
        <f>"201511024477"</f>
        <v>201511024477</v>
      </c>
    </row>
    <row r="16358" spans="1:2" x14ac:dyDescent="0.25">
      <c r="A16358" s="4">
        <v>16353</v>
      </c>
      <c r="B16358" s="3" t="str">
        <f>"201511024482"</f>
        <v>201511024482</v>
      </c>
    </row>
    <row r="16359" spans="1:2" x14ac:dyDescent="0.25">
      <c r="A16359" s="4">
        <v>16354</v>
      </c>
      <c r="B16359" s="3" t="str">
        <f>"201511024487"</f>
        <v>201511024487</v>
      </c>
    </row>
    <row r="16360" spans="1:2" x14ac:dyDescent="0.25">
      <c r="A16360" s="4">
        <v>16355</v>
      </c>
      <c r="B16360" s="3" t="str">
        <f>"201511024495"</f>
        <v>201511024495</v>
      </c>
    </row>
    <row r="16361" spans="1:2" x14ac:dyDescent="0.25">
      <c r="A16361" s="4">
        <v>16356</v>
      </c>
      <c r="B16361" s="3" t="str">
        <f>"201511024501"</f>
        <v>201511024501</v>
      </c>
    </row>
    <row r="16362" spans="1:2" x14ac:dyDescent="0.25">
      <c r="A16362" s="4">
        <v>16357</v>
      </c>
      <c r="B16362" s="3" t="str">
        <f>"201511024517"</f>
        <v>201511024517</v>
      </c>
    </row>
    <row r="16363" spans="1:2" x14ac:dyDescent="0.25">
      <c r="A16363" s="4">
        <v>16358</v>
      </c>
      <c r="B16363" s="3" t="str">
        <f>"201511024555"</f>
        <v>201511024555</v>
      </c>
    </row>
    <row r="16364" spans="1:2" x14ac:dyDescent="0.25">
      <c r="A16364" s="4">
        <v>16359</v>
      </c>
      <c r="B16364" s="3" t="str">
        <f>"201511024590"</f>
        <v>201511024590</v>
      </c>
    </row>
    <row r="16365" spans="1:2" x14ac:dyDescent="0.25">
      <c r="A16365" s="4">
        <v>16360</v>
      </c>
      <c r="B16365" s="3" t="str">
        <f>"201511024620"</f>
        <v>201511024620</v>
      </c>
    </row>
    <row r="16366" spans="1:2" x14ac:dyDescent="0.25">
      <c r="A16366" s="4">
        <v>16361</v>
      </c>
      <c r="B16366" s="3" t="str">
        <f>"201511024636"</f>
        <v>201511024636</v>
      </c>
    </row>
    <row r="16367" spans="1:2" x14ac:dyDescent="0.25">
      <c r="A16367" s="4">
        <v>16362</v>
      </c>
      <c r="B16367" s="3" t="str">
        <f>"201511024665"</f>
        <v>201511024665</v>
      </c>
    </row>
    <row r="16368" spans="1:2" x14ac:dyDescent="0.25">
      <c r="A16368" s="4">
        <v>16363</v>
      </c>
      <c r="B16368" s="3" t="str">
        <f>"201511024681"</f>
        <v>201511024681</v>
      </c>
    </row>
    <row r="16369" spans="1:2" x14ac:dyDescent="0.25">
      <c r="A16369" s="4">
        <v>16364</v>
      </c>
      <c r="B16369" s="3" t="str">
        <f>"201511024694"</f>
        <v>201511024694</v>
      </c>
    </row>
    <row r="16370" spans="1:2" x14ac:dyDescent="0.25">
      <c r="A16370" s="4">
        <v>16365</v>
      </c>
      <c r="B16370" s="3" t="str">
        <f>"201511024707"</f>
        <v>201511024707</v>
      </c>
    </row>
    <row r="16371" spans="1:2" x14ac:dyDescent="0.25">
      <c r="A16371" s="4">
        <v>16366</v>
      </c>
      <c r="B16371" s="3" t="str">
        <f>"201511024721"</f>
        <v>201511024721</v>
      </c>
    </row>
    <row r="16372" spans="1:2" x14ac:dyDescent="0.25">
      <c r="A16372" s="4">
        <v>16367</v>
      </c>
      <c r="B16372" s="3" t="str">
        <f>"201511024784"</f>
        <v>201511024784</v>
      </c>
    </row>
    <row r="16373" spans="1:2" x14ac:dyDescent="0.25">
      <c r="A16373" s="4">
        <v>16368</v>
      </c>
      <c r="B16373" s="3" t="str">
        <f>"201511024791"</f>
        <v>201511024791</v>
      </c>
    </row>
    <row r="16374" spans="1:2" x14ac:dyDescent="0.25">
      <c r="A16374" s="4">
        <v>16369</v>
      </c>
      <c r="B16374" s="3" t="str">
        <f>"201511024830"</f>
        <v>201511024830</v>
      </c>
    </row>
    <row r="16375" spans="1:2" x14ac:dyDescent="0.25">
      <c r="A16375" s="4">
        <v>16370</v>
      </c>
      <c r="B16375" s="3" t="str">
        <f>"201511024838"</f>
        <v>201511024838</v>
      </c>
    </row>
    <row r="16376" spans="1:2" x14ac:dyDescent="0.25">
      <c r="A16376" s="4">
        <v>16371</v>
      </c>
      <c r="B16376" s="3" t="str">
        <f>"201511024892"</f>
        <v>201511024892</v>
      </c>
    </row>
    <row r="16377" spans="1:2" x14ac:dyDescent="0.25">
      <c r="A16377" s="4">
        <v>16372</v>
      </c>
      <c r="B16377" s="3" t="str">
        <f>"201511024912"</f>
        <v>201511024912</v>
      </c>
    </row>
    <row r="16378" spans="1:2" x14ac:dyDescent="0.25">
      <c r="A16378" s="4">
        <v>16373</v>
      </c>
      <c r="B16378" s="3" t="str">
        <f>"201511024913"</f>
        <v>201511024913</v>
      </c>
    </row>
    <row r="16379" spans="1:2" x14ac:dyDescent="0.25">
      <c r="A16379" s="4">
        <v>16374</v>
      </c>
      <c r="B16379" s="3" t="str">
        <f>"201511024927"</f>
        <v>201511024927</v>
      </c>
    </row>
    <row r="16380" spans="1:2" x14ac:dyDescent="0.25">
      <c r="A16380" s="4">
        <v>16375</v>
      </c>
      <c r="B16380" s="3" t="str">
        <f>"201511024931"</f>
        <v>201511024931</v>
      </c>
    </row>
    <row r="16381" spans="1:2" x14ac:dyDescent="0.25">
      <c r="A16381" s="4">
        <v>16376</v>
      </c>
      <c r="B16381" s="3" t="str">
        <f>"201511024943"</f>
        <v>201511024943</v>
      </c>
    </row>
    <row r="16382" spans="1:2" x14ac:dyDescent="0.25">
      <c r="A16382" s="4">
        <v>16377</v>
      </c>
      <c r="B16382" s="3" t="str">
        <f>"201511024953"</f>
        <v>201511024953</v>
      </c>
    </row>
    <row r="16383" spans="1:2" x14ac:dyDescent="0.25">
      <c r="A16383" s="4">
        <v>16378</v>
      </c>
      <c r="B16383" s="3" t="str">
        <f>"201511024962"</f>
        <v>201511024962</v>
      </c>
    </row>
    <row r="16384" spans="1:2" x14ac:dyDescent="0.25">
      <c r="A16384" s="4">
        <v>16379</v>
      </c>
      <c r="B16384" s="3" t="str">
        <f>"201511024978"</f>
        <v>201511024978</v>
      </c>
    </row>
    <row r="16385" spans="1:2" x14ac:dyDescent="0.25">
      <c r="A16385" s="4">
        <v>16380</v>
      </c>
      <c r="B16385" s="3" t="str">
        <f>"201511025034"</f>
        <v>201511025034</v>
      </c>
    </row>
    <row r="16386" spans="1:2" x14ac:dyDescent="0.25">
      <c r="A16386" s="4">
        <v>16381</v>
      </c>
      <c r="B16386" s="3" t="str">
        <f>"201511025061"</f>
        <v>201511025061</v>
      </c>
    </row>
    <row r="16387" spans="1:2" x14ac:dyDescent="0.25">
      <c r="A16387" s="4">
        <v>16382</v>
      </c>
      <c r="B16387" s="3" t="str">
        <f>"201511025088"</f>
        <v>201511025088</v>
      </c>
    </row>
    <row r="16388" spans="1:2" x14ac:dyDescent="0.25">
      <c r="A16388" s="4">
        <v>16383</v>
      </c>
      <c r="B16388" s="3" t="str">
        <f>"201511025090"</f>
        <v>201511025090</v>
      </c>
    </row>
    <row r="16389" spans="1:2" x14ac:dyDescent="0.25">
      <c r="A16389" s="4">
        <v>16384</v>
      </c>
      <c r="B16389" s="3" t="str">
        <f>"201511025092"</f>
        <v>201511025092</v>
      </c>
    </row>
    <row r="16390" spans="1:2" x14ac:dyDescent="0.25">
      <c r="A16390" s="4">
        <v>16385</v>
      </c>
      <c r="B16390" s="3" t="str">
        <f>"201511025096"</f>
        <v>201511025096</v>
      </c>
    </row>
    <row r="16391" spans="1:2" x14ac:dyDescent="0.25">
      <c r="A16391" s="4">
        <v>16386</v>
      </c>
      <c r="B16391" s="3" t="str">
        <f>"201511025115"</f>
        <v>201511025115</v>
      </c>
    </row>
    <row r="16392" spans="1:2" x14ac:dyDescent="0.25">
      <c r="A16392" s="4">
        <v>16387</v>
      </c>
      <c r="B16392" s="3" t="str">
        <f>"201511025131"</f>
        <v>201511025131</v>
      </c>
    </row>
    <row r="16393" spans="1:2" x14ac:dyDescent="0.25">
      <c r="A16393" s="4">
        <v>16388</v>
      </c>
      <c r="B16393" s="3" t="str">
        <f>"201511025173"</f>
        <v>201511025173</v>
      </c>
    </row>
    <row r="16394" spans="1:2" x14ac:dyDescent="0.25">
      <c r="A16394" s="4">
        <v>16389</v>
      </c>
      <c r="B16394" s="3" t="str">
        <f>"201511025232"</f>
        <v>201511025232</v>
      </c>
    </row>
    <row r="16395" spans="1:2" x14ac:dyDescent="0.25">
      <c r="A16395" s="4">
        <v>16390</v>
      </c>
      <c r="B16395" s="3" t="str">
        <f>"201511025259"</f>
        <v>201511025259</v>
      </c>
    </row>
    <row r="16396" spans="1:2" x14ac:dyDescent="0.25">
      <c r="A16396" s="4">
        <v>16391</v>
      </c>
      <c r="B16396" s="3" t="str">
        <f>"201511025271"</f>
        <v>201511025271</v>
      </c>
    </row>
    <row r="16397" spans="1:2" x14ac:dyDescent="0.25">
      <c r="A16397" s="4">
        <v>16392</v>
      </c>
      <c r="B16397" s="3" t="str">
        <f>"201511025292"</f>
        <v>201511025292</v>
      </c>
    </row>
    <row r="16398" spans="1:2" x14ac:dyDescent="0.25">
      <c r="A16398" s="4">
        <v>16393</v>
      </c>
      <c r="B16398" s="3" t="str">
        <f>"201511025303"</f>
        <v>201511025303</v>
      </c>
    </row>
    <row r="16399" spans="1:2" x14ac:dyDescent="0.25">
      <c r="A16399" s="4">
        <v>16394</v>
      </c>
      <c r="B16399" s="3" t="str">
        <f>"201511025313"</f>
        <v>201511025313</v>
      </c>
    </row>
    <row r="16400" spans="1:2" x14ac:dyDescent="0.25">
      <c r="A16400" s="4">
        <v>16395</v>
      </c>
      <c r="B16400" s="3" t="str">
        <f>"201511025327"</f>
        <v>201511025327</v>
      </c>
    </row>
    <row r="16401" spans="1:2" x14ac:dyDescent="0.25">
      <c r="A16401" s="4">
        <v>16396</v>
      </c>
      <c r="B16401" s="3" t="str">
        <f>"201511025388"</f>
        <v>201511025388</v>
      </c>
    </row>
    <row r="16402" spans="1:2" x14ac:dyDescent="0.25">
      <c r="A16402" s="4">
        <v>16397</v>
      </c>
      <c r="B16402" s="3" t="str">
        <f>"201511025402"</f>
        <v>201511025402</v>
      </c>
    </row>
    <row r="16403" spans="1:2" x14ac:dyDescent="0.25">
      <c r="A16403" s="4">
        <v>16398</v>
      </c>
      <c r="B16403" s="3" t="str">
        <f>"201511025429"</f>
        <v>201511025429</v>
      </c>
    </row>
    <row r="16404" spans="1:2" x14ac:dyDescent="0.25">
      <c r="A16404" s="4">
        <v>16399</v>
      </c>
      <c r="B16404" s="3" t="str">
        <f>"201511025433"</f>
        <v>201511025433</v>
      </c>
    </row>
    <row r="16405" spans="1:2" x14ac:dyDescent="0.25">
      <c r="A16405" s="4">
        <v>16400</v>
      </c>
      <c r="B16405" s="3" t="str">
        <f>"201511025448"</f>
        <v>201511025448</v>
      </c>
    </row>
    <row r="16406" spans="1:2" x14ac:dyDescent="0.25">
      <c r="A16406" s="4">
        <v>16401</v>
      </c>
      <c r="B16406" s="3" t="str">
        <f>"201511025522"</f>
        <v>201511025522</v>
      </c>
    </row>
    <row r="16407" spans="1:2" x14ac:dyDescent="0.25">
      <c r="A16407" s="4">
        <v>16402</v>
      </c>
      <c r="B16407" s="3" t="str">
        <f>"201511025524"</f>
        <v>201511025524</v>
      </c>
    </row>
    <row r="16408" spans="1:2" x14ac:dyDescent="0.25">
      <c r="A16408" s="4">
        <v>16403</v>
      </c>
      <c r="B16408" s="3" t="str">
        <f>"201511025530"</f>
        <v>201511025530</v>
      </c>
    </row>
    <row r="16409" spans="1:2" x14ac:dyDescent="0.25">
      <c r="A16409" s="4">
        <v>16404</v>
      </c>
      <c r="B16409" s="3" t="str">
        <f>"201511025563"</f>
        <v>201511025563</v>
      </c>
    </row>
    <row r="16410" spans="1:2" x14ac:dyDescent="0.25">
      <c r="A16410" s="4">
        <v>16405</v>
      </c>
      <c r="B16410" s="3" t="str">
        <f>"201511025584"</f>
        <v>201511025584</v>
      </c>
    </row>
    <row r="16411" spans="1:2" x14ac:dyDescent="0.25">
      <c r="A16411" s="4">
        <v>16406</v>
      </c>
      <c r="B16411" s="3" t="str">
        <f>"201511025585"</f>
        <v>201511025585</v>
      </c>
    </row>
    <row r="16412" spans="1:2" x14ac:dyDescent="0.25">
      <c r="A16412" s="4">
        <v>16407</v>
      </c>
      <c r="B16412" s="3" t="str">
        <f>"201511025587"</f>
        <v>201511025587</v>
      </c>
    </row>
    <row r="16413" spans="1:2" x14ac:dyDescent="0.25">
      <c r="A16413" s="4">
        <v>16408</v>
      </c>
      <c r="B16413" s="3" t="str">
        <f>"201511025654"</f>
        <v>201511025654</v>
      </c>
    </row>
    <row r="16414" spans="1:2" x14ac:dyDescent="0.25">
      <c r="A16414" s="4">
        <v>16409</v>
      </c>
      <c r="B16414" s="3" t="str">
        <f>"201511025660"</f>
        <v>201511025660</v>
      </c>
    </row>
    <row r="16415" spans="1:2" x14ac:dyDescent="0.25">
      <c r="A16415" s="4">
        <v>16410</v>
      </c>
      <c r="B16415" s="3" t="str">
        <f>"201511025672"</f>
        <v>201511025672</v>
      </c>
    </row>
    <row r="16416" spans="1:2" x14ac:dyDescent="0.25">
      <c r="A16416" s="4">
        <v>16411</v>
      </c>
      <c r="B16416" s="3" t="str">
        <f>"201511025685"</f>
        <v>201511025685</v>
      </c>
    </row>
    <row r="16417" spans="1:2" x14ac:dyDescent="0.25">
      <c r="A16417" s="4">
        <v>16412</v>
      </c>
      <c r="B16417" s="3" t="str">
        <f>"201511025709"</f>
        <v>201511025709</v>
      </c>
    </row>
    <row r="16418" spans="1:2" x14ac:dyDescent="0.25">
      <c r="A16418" s="4">
        <v>16413</v>
      </c>
      <c r="B16418" s="3" t="str">
        <f>"201511025728"</f>
        <v>201511025728</v>
      </c>
    </row>
    <row r="16419" spans="1:2" x14ac:dyDescent="0.25">
      <c r="A16419" s="4">
        <v>16414</v>
      </c>
      <c r="B16419" s="3" t="str">
        <f>"201511025791"</f>
        <v>201511025791</v>
      </c>
    </row>
    <row r="16420" spans="1:2" x14ac:dyDescent="0.25">
      <c r="A16420" s="4">
        <v>16415</v>
      </c>
      <c r="B16420" s="3" t="str">
        <f>"201511025799"</f>
        <v>201511025799</v>
      </c>
    </row>
    <row r="16421" spans="1:2" x14ac:dyDescent="0.25">
      <c r="A16421" s="4">
        <v>16416</v>
      </c>
      <c r="B16421" s="3" t="str">
        <f>"201511025828"</f>
        <v>201511025828</v>
      </c>
    </row>
    <row r="16422" spans="1:2" x14ac:dyDescent="0.25">
      <c r="A16422" s="4">
        <v>16417</v>
      </c>
      <c r="B16422" s="3" t="str">
        <f>"201511025833"</f>
        <v>201511025833</v>
      </c>
    </row>
    <row r="16423" spans="1:2" x14ac:dyDescent="0.25">
      <c r="A16423" s="4">
        <v>16418</v>
      </c>
      <c r="B16423" s="3" t="str">
        <f>"201511025843"</f>
        <v>201511025843</v>
      </c>
    </row>
    <row r="16424" spans="1:2" x14ac:dyDescent="0.25">
      <c r="A16424" s="4">
        <v>16419</v>
      </c>
      <c r="B16424" s="3" t="str">
        <f>"201511025855"</f>
        <v>201511025855</v>
      </c>
    </row>
    <row r="16425" spans="1:2" x14ac:dyDescent="0.25">
      <c r="A16425" s="4">
        <v>16420</v>
      </c>
      <c r="B16425" s="3" t="str">
        <f>"201511025872"</f>
        <v>201511025872</v>
      </c>
    </row>
    <row r="16426" spans="1:2" x14ac:dyDescent="0.25">
      <c r="A16426" s="4">
        <v>16421</v>
      </c>
      <c r="B16426" s="3" t="str">
        <f>"201511025879"</f>
        <v>201511025879</v>
      </c>
    </row>
    <row r="16427" spans="1:2" x14ac:dyDescent="0.25">
      <c r="A16427" s="4">
        <v>16422</v>
      </c>
      <c r="B16427" s="3" t="str">
        <f>"201511025880"</f>
        <v>201511025880</v>
      </c>
    </row>
    <row r="16428" spans="1:2" x14ac:dyDescent="0.25">
      <c r="A16428" s="4">
        <v>16423</v>
      </c>
      <c r="B16428" s="3" t="str">
        <f>"201511025890"</f>
        <v>201511025890</v>
      </c>
    </row>
    <row r="16429" spans="1:2" x14ac:dyDescent="0.25">
      <c r="A16429" s="4">
        <v>16424</v>
      </c>
      <c r="B16429" s="3" t="str">
        <f>"201511025896"</f>
        <v>201511025896</v>
      </c>
    </row>
    <row r="16430" spans="1:2" x14ac:dyDescent="0.25">
      <c r="A16430" s="4">
        <v>16425</v>
      </c>
      <c r="B16430" s="3" t="str">
        <f>"201511025913"</f>
        <v>201511025913</v>
      </c>
    </row>
    <row r="16431" spans="1:2" x14ac:dyDescent="0.25">
      <c r="A16431" s="4">
        <v>16426</v>
      </c>
      <c r="B16431" s="3" t="str">
        <f>"201511025916"</f>
        <v>201511025916</v>
      </c>
    </row>
    <row r="16432" spans="1:2" x14ac:dyDescent="0.25">
      <c r="A16432" s="4">
        <v>16427</v>
      </c>
      <c r="B16432" s="3" t="str">
        <f>"201511025922"</f>
        <v>201511025922</v>
      </c>
    </row>
    <row r="16433" spans="1:2" x14ac:dyDescent="0.25">
      <c r="A16433" s="4">
        <v>16428</v>
      </c>
      <c r="B16433" s="3" t="str">
        <f>"201511025928"</f>
        <v>201511025928</v>
      </c>
    </row>
    <row r="16434" spans="1:2" x14ac:dyDescent="0.25">
      <c r="A16434" s="4">
        <v>16429</v>
      </c>
      <c r="B16434" s="3" t="str">
        <f>"201511025929"</f>
        <v>201511025929</v>
      </c>
    </row>
    <row r="16435" spans="1:2" x14ac:dyDescent="0.25">
      <c r="A16435" s="4">
        <v>16430</v>
      </c>
      <c r="B16435" s="3" t="str">
        <f>"201511025931"</f>
        <v>201511025931</v>
      </c>
    </row>
    <row r="16436" spans="1:2" x14ac:dyDescent="0.25">
      <c r="A16436" s="4">
        <v>16431</v>
      </c>
      <c r="B16436" s="3" t="str">
        <f>"201511025950"</f>
        <v>201511025950</v>
      </c>
    </row>
    <row r="16437" spans="1:2" x14ac:dyDescent="0.25">
      <c r="A16437" s="4">
        <v>16432</v>
      </c>
      <c r="B16437" s="3" t="str">
        <f>"201511025960"</f>
        <v>201511025960</v>
      </c>
    </row>
    <row r="16438" spans="1:2" x14ac:dyDescent="0.25">
      <c r="A16438" s="4">
        <v>16433</v>
      </c>
      <c r="B16438" s="3" t="str">
        <f>"201511025964"</f>
        <v>201511025964</v>
      </c>
    </row>
    <row r="16439" spans="1:2" x14ac:dyDescent="0.25">
      <c r="A16439" s="4">
        <v>16434</v>
      </c>
      <c r="B16439" s="3" t="str">
        <f>"201511025976"</f>
        <v>201511025976</v>
      </c>
    </row>
    <row r="16440" spans="1:2" x14ac:dyDescent="0.25">
      <c r="A16440" s="4">
        <v>16435</v>
      </c>
      <c r="B16440" s="3" t="str">
        <f>"201511025981"</f>
        <v>201511025981</v>
      </c>
    </row>
    <row r="16441" spans="1:2" x14ac:dyDescent="0.25">
      <c r="A16441" s="4">
        <v>16436</v>
      </c>
      <c r="B16441" s="3" t="str">
        <f>"201511025982"</f>
        <v>201511025982</v>
      </c>
    </row>
    <row r="16442" spans="1:2" x14ac:dyDescent="0.25">
      <c r="A16442" s="4">
        <v>16437</v>
      </c>
      <c r="B16442" s="3" t="str">
        <f>"201511025995"</f>
        <v>201511025995</v>
      </c>
    </row>
    <row r="16443" spans="1:2" x14ac:dyDescent="0.25">
      <c r="A16443" s="4">
        <v>16438</v>
      </c>
      <c r="B16443" s="3" t="str">
        <f>"201511025998"</f>
        <v>201511025998</v>
      </c>
    </row>
    <row r="16444" spans="1:2" x14ac:dyDescent="0.25">
      <c r="A16444" s="4">
        <v>16439</v>
      </c>
      <c r="B16444" s="3" t="str">
        <f>"201511025999"</f>
        <v>201511025999</v>
      </c>
    </row>
    <row r="16445" spans="1:2" x14ac:dyDescent="0.25">
      <c r="A16445" s="4">
        <v>16440</v>
      </c>
      <c r="B16445" s="3" t="str">
        <f>"201511026003"</f>
        <v>201511026003</v>
      </c>
    </row>
    <row r="16446" spans="1:2" x14ac:dyDescent="0.25">
      <c r="A16446" s="4">
        <v>16441</v>
      </c>
      <c r="B16446" s="3" t="str">
        <f>"201511026005"</f>
        <v>201511026005</v>
      </c>
    </row>
    <row r="16447" spans="1:2" x14ac:dyDescent="0.25">
      <c r="A16447" s="4">
        <v>16442</v>
      </c>
      <c r="B16447" s="3" t="str">
        <f>"201511026019"</f>
        <v>201511026019</v>
      </c>
    </row>
    <row r="16448" spans="1:2" x14ac:dyDescent="0.25">
      <c r="A16448" s="4">
        <v>16443</v>
      </c>
      <c r="B16448" s="3" t="str">
        <f>"201511026029"</f>
        <v>201511026029</v>
      </c>
    </row>
    <row r="16449" spans="1:2" x14ac:dyDescent="0.25">
      <c r="A16449" s="4">
        <v>16444</v>
      </c>
      <c r="B16449" s="3" t="str">
        <f>"201511026034"</f>
        <v>201511026034</v>
      </c>
    </row>
    <row r="16450" spans="1:2" x14ac:dyDescent="0.25">
      <c r="A16450" s="4">
        <v>16445</v>
      </c>
      <c r="B16450" s="3" t="str">
        <f>"201511026043"</f>
        <v>201511026043</v>
      </c>
    </row>
    <row r="16451" spans="1:2" x14ac:dyDescent="0.25">
      <c r="A16451" s="4">
        <v>16446</v>
      </c>
      <c r="B16451" s="3" t="str">
        <f>"201511026130"</f>
        <v>201511026130</v>
      </c>
    </row>
    <row r="16452" spans="1:2" x14ac:dyDescent="0.25">
      <c r="A16452" s="4">
        <v>16447</v>
      </c>
      <c r="B16452" s="3" t="str">
        <f>"201511026169"</f>
        <v>201511026169</v>
      </c>
    </row>
    <row r="16453" spans="1:2" x14ac:dyDescent="0.25">
      <c r="A16453" s="4">
        <v>16448</v>
      </c>
      <c r="B16453" s="3" t="str">
        <f>"201511026186"</f>
        <v>201511026186</v>
      </c>
    </row>
    <row r="16454" spans="1:2" x14ac:dyDescent="0.25">
      <c r="A16454" s="4">
        <v>16449</v>
      </c>
      <c r="B16454" s="3" t="str">
        <f>"201511026187"</f>
        <v>201511026187</v>
      </c>
    </row>
    <row r="16455" spans="1:2" x14ac:dyDescent="0.25">
      <c r="A16455" s="4">
        <v>16450</v>
      </c>
      <c r="B16455" s="3" t="str">
        <f>"201511026188"</f>
        <v>201511026188</v>
      </c>
    </row>
    <row r="16456" spans="1:2" x14ac:dyDescent="0.25">
      <c r="A16456" s="4">
        <v>16451</v>
      </c>
      <c r="B16456" s="3" t="str">
        <f>"201511026207"</f>
        <v>201511026207</v>
      </c>
    </row>
    <row r="16457" spans="1:2" x14ac:dyDescent="0.25">
      <c r="A16457" s="4">
        <v>16452</v>
      </c>
      <c r="B16457" s="3" t="str">
        <f>"201511026210"</f>
        <v>201511026210</v>
      </c>
    </row>
    <row r="16458" spans="1:2" x14ac:dyDescent="0.25">
      <c r="A16458" s="4">
        <v>16453</v>
      </c>
      <c r="B16458" s="3" t="str">
        <f>"201511026216"</f>
        <v>201511026216</v>
      </c>
    </row>
    <row r="16459" spans="1:2" x14ac:dyDescent="0.25">
      <c r="A16459" s="4">
        <v>16454</v>
      </c>
      <c r="B16459" s="3" t="str">
        <f>"201511026219"</f>
        <v>201511026219</v>
      </c>
    </row>
    <row r="16460" spans="1:2" x14ac:dyDescent="0.25">
      <c r="A16460" s="4">
        <v>16455</v>
      </c>
      <c r="B16460" s="3" t="str">
        <f>"201511026263"</f>
        <v>201511026263</v>
      </c>
    </row>
    <row r="16461" spans="1:2" x14ac:dyDescent="0.25">
      <c r="A16461" s="4">
        <v>16456</v>
      </c>
      <c r="B16461" s="3" t="str">
        <f>"201511026266"</f>
        <v>201511026266</v>
      </c>
    </row>
    <row r="16462" spans="1:2" x14ac:dyDescent="0.25">
      <c r="A16462" s="4">
        <v>16457</v>
      </c>
      <c r="B16462" s="3" t="str">
        <f>"201511026268"</f>
        <v>201511026268</v>
      </c>
    </row>
    <row r="16463" spans="1:2" x14ac:dyDescent="0.25">
      <c r="A16463" s="4">
        <v>16458</v>
      </c>
      <c r="B16463" s="3" t="str">
        <f>"201511026280"</f>
        <v>201511026280</v>
      </c>
    </row>
    <row r="16464" spans="1:2" x14ac:dyDescent="0.25">
      <c r="A16464" s="4">
        <v>16459</v>
      </c>
      <c r="B16464" s="3" t="str">
        <f>"201511026281"</f>
        <v>201511026281</v>
      </c>
    </row>
    <row r="16465" spans="1:2" x14ac:dyDescent="0.25">
      <c r="A16465" s="4">
        <v>16460</v>
      </c>
      <c r="B16465" s="3" t="str">
        <f>"201511026285"</f>
        <v>201511026285</v>
      </c>
    </row>
    <row r="16466" spans="1:2" x14ac:dyDescent="0.25">
      <c r="A16466" s="4">
        <v>16461</v>
      </c>
      <c r="B16466" s="3" t="str">
        <f>"201511026296"</f>
        <v>201511026296</v>
      </c>
    </row>
    <row r="16467" spans="1:2" x14ac:dyDescent="0.25">
      <c r="A16467" s="4">
        <v>16462</v>
      </c>
      <c r="B16467" s="3" t="str">
        <f>"201511026327"</f>
        <v>201511026327</v>
      </c>
    </row>
    <row r="16468" spans="1:2" x14ac:dyDescent="0.25">
      <c r="A16468" s="4">
        <v>16463</v>
      </c>
      <c r="B16468" s="3" t="str">
        <f>"201511026376"</f>
        <v>201511026376</v>
      </c>
    </row>
    <row r="16469" spans="1:2" x14ac:dyDescent="0.25">
      <c r="A16469" s="4">
        <v>16464</v>
      </c>
      <c r="B16469" s="3" t="str">
        <f>"201511026380"</f>
        <v>201511026380</v>
      </c>
    </row>
    <row r="16470" spans="1:2" x14ac:dyDescent="0.25">
      <c r="A16470" s="4">
        <v>16465</v>
      </c>
      <c r="B16470" s="3" t="str">
        <f>"201511026396"</f>
        <v>201511026396</v>
      </c>
    </row>
    <row r="16471" spans="1:2" x14ac:dyDescent="0.25">
      <c r="A16471" s="4">
        <v>16466</v>
      </c>
      <c r="B16471" s="3" t="str">
        <f>"201511026401"</f>
        <v>201511026401</v>
      </c>
    </row>
    <row r="16472" spans="1:2" x14ac:dyDescent="0.25">
      <c r="A16472" s="4">
        <v>16467</v>
      </c>
      <c r="B16472" s="3" t="str">
        <f>"201511026417"</f>
        <v>201511026417</v>
      </c>
    </row>
    <row r="16473" spans="1:2" x14ac:dyDescent="0.25">
      <c r="A16473" s="4">
        <v>16468</v>
      </c>
      <c r="B16473" s="3" t="str">
        <f>"201511026424"</f>
        <v>201511026424</v>
      </c>
    </row>
    <row r="16474" spans="1:2" x14ac:dyDescent="0.25">
      <c r="A16474" s="4">
        <v>16469</v>
      </c>
      <c r="B16474" s="3" t="str">
        <f>"201511026455"</f>
        <v>201511026455</v>
      </c>
    </row>
    <row r="16475" spans="1:2" x14ac:dyDescent="0.25">
      <c r="A16475" s="4">
        <v>16470</v>
      </c>
      <c r="B16475" s="3" t="str">
        <f>"201511026458"</f>
        <v>201511026458</v>
      </c>
    </row>
    <row r="16476" spans="1:2" x14ac:dyDescent="0.25">
      <c r="A16476" s="4">
        <v>16471</v>
      </c>
      <c r="B16476" s="3" t="str">
        <f>"201511026462"</f>
        <v>201511026462</v>
      </c>
    </row>
    <row r="16477" spans="1:2" x14ac:dyDescent="0.25">
      <c r="A16477" s="4">
        <v>16472</v>
      </c>
      <c r="B16477" s="3" t="str">
        <f>"201511026481"</f>
        <v>201511026481</v>
      </c>
    </row>
    <row r="16478" spans="1:2" x14ac:dyDescent="0.25">
      <c r="A16478" s="4">
        <v>16473</v>
      </c>
      <c r="B16478" s="3" t="str">
        <f>"201511026485"</f>
        <v>201511026485</v>
      </c>
    </row>
    <row r="16479" spans="1:2" x14ac:dyDescent="0.25">
      <c r="A16479" s="4">
        <v>16474</v>
      </c>
      <c r="B16479" s="3" t="str">
        <f>"201511026504"</f>
        <v>201511026504</v>
      </c>
    </row>
    <row r="16480" spans="1:2" x14ac:dyDescent="0.25">
      <c r="A16480" s="4">
        <v>16475</v>
      </c>
      <c r="B16480" s="3" t="str">
        <f>"201511026515"</f>
        <v>201511026515</v>
      </c>
    </row>
    <row r="16481" spans="1:2" x14ac:dyDescent="0.25">
      <c r="A16481" s="4">
        <v>16476</v>
      </c>
      <c r="B16481" s="3" t="str">
        <f>"201511026517"</f>
        <v>201511026517</v>
      </c>
    </row>
    <row r="16482" spans="1:2" x14ac:dyDescent="0.25">
      <c r="A16482" s="4">
        <v>16477</v>
      </c>
      <c r="B16482" s="3" t="str">
        <f>"201511026521"</f>
        <v>201511026521</v>
      </c>
    </row>
    <row r="16483" spans="1:2" x14ac:dyDescent="0.25">
      <c r="A16483" s="4">
        <v>16478</v>
      </c>
      <c r="B16483" s="3" t="str">
        <f>"201511026532"</f>
        <v>201511026532</v>
      </c>
    </row>
    <row r="16484" spans="1:2" x14ac:dyDescent="0.25">
      <c r="A16484" s="4">
        <v>16479</v>
      </c>
      <c r="B16484" s="3" t="str">
        <f>"201511026536"</f>
        <v>201511026536</v>
      </c>
    </row>
    <row r="16485" spans="1:2" x14ac:dyDescent="0.25">
      <c r="A16485" s="4">
        <v>16480</v>
      </c>
      <c r="B16485" s="3" t="str">
        <f>"201511026557"</f>
        <v>201511026557</v>
      </c>
    </row>
    <row r="16486" spans="1:2" x14ac:dyDescent="0.25">
      <c r="A16486" s="4">
        <v>16481</v>
      </c>
      <c r="B16486" s="3" t="str">
        <f>"201511026571"</f>
        <v>201511026571</v>
      </c>
    </row>
    <row r="16487" spans="1:2" x14ac:dyDescent="0.25">
      <c r="A16487" s="4">
        <v>16482</v>
      </c>
      <c r="B16487" s="3" t="str">
        <f>"201511026587"</f>
        <v>201511026587</v>
      </c>
    </row>
    <row r="16488" spans="1:2" x14ac:dyDescent="0.25">
      <c r="A16488" s="4">
        <v>16483</v>
      </c>
      <c r="B16488" s="3" t="str">
        <f>"201511026604"</f>
        <v>201511026604</v>
      </c>
    </row>
    <row r="16489" spans="1:2" x14ac:dyDescent="0.25">
      <c r="A16489" s="4">
        <v>16484</v>
      </c>
      <c r="B16489" s="3" t="str">
        <f>"201511026637"</f>
        <v>201511026637</v>
      </c>
    </row>
    <row r="16490" spans="1:2" x14ac:dyDescent="0.25">
      <c r="A16490" s="4">
        <v>16485</v>
      </c>
      <c r="B16490" s="3" t="str">
        <f>"201511026640"</f>
        <v>201511026640</v>
      </c>
    </row>
    <row r="16491" spans="1:2" x14ac:dyDescent="0.25">
      <c r="A16491" s="4">
        <v>16486</v>
      </c>
      <c r="B16491" s="3" t="str">
        <f>"201511026682"</f>
        <v>201511026682</v>
      </c>
    </row>
    <row r="16492" spans="1:2" x14ac:dyDescent="0.25">
      <c r="A16492" s="4">
        <v>16487</v>
      </c>
      <c r="B16492" s="3" t="str">
        <f>"201511026706"</f>
        <v>201511026706</v>
      </c>
    </row>
    <row r="16493" spans="1:2" x14ac:dyDescent="0.25">
      <c r="A16493" s="4">
        <v>16488</v>
      </c>
      <c r="B16493" s="3" t="str">
        <f>"201511026747"</f>
        <v>201511026747</v>
      </c>
    </row>
    <row r="16494" spans="1:2" x14ac:dyDescent="0.25">
      <c r="A16494" s="4">
        <v>16489</v>
      </c>
      <c r="B16494" s="3" t="str">
        <f>"201511026759"</f>
        <v>201511026759</v>
      </c>
    </row>
    <row r="16495" spans="1:2" x14ac:dyDescent="0.25">
      <c r="A16495" s="4">
        <v>16490</v>
      </c>
      <c r="B16495" s="3" t="str">
        <f>"201511026783"</f>
        <v>201511026783</v>
      </c>
    </row>
    <row r="16496" spans="1:2" x14ac:dyDescent="0.25">
      <c r="A16496" s="4">
        <v>16491</v>
      </c>
      <c r="B16496" s="3" t="str">
        <f>"201511026784"</f>
        <v>201511026784</v>
      </c>
    </row>
    <row r="16497" spans="1:2" x14ac:dyDescent="0.25">
      <c r="A16497" s="4">
        <v>16492</v>
      </c>
      <c r="B16497" s="3" t="str">
        <f>"201511026786"</f>
        <v>201511026786</v>
      </c>
    </row>
    <row r="16498" spans="1:2" x14ac:dyDescent="0.25">
      <c r="A16498" s="4">
        <v>16493</v>
      </c>
      <c r="B16498" s="3" t="str">
        <f>"201511026792"</f>
        <v>201511026792</v>
      </c>
    </row>
    <row r="16499" spans="1:2" x14ac:dyDescent="0.25">
      <c r="A16499" s="4">
        <v>16494</v>
      </c>
      <c r="B16499" s="3" t="str">
        <f>"201511026825"</f>
        <v>201511026825</v>
      </c>
    </row>
    <row r="16500" spans="1:2" x14ac:dyDescent="0.25">
      <c r="A16500" s="4">
        <v>16495</v>
      </c>
      <c r="B16500" s="3" t="str">
        <f>"201511026850"</f>
        <v>201511026850</v>
      </c>
    </row>
    <row r="16501" spans="1:2" x14ac:dyDescent="0.25">
      <c r="A16501" s="4">
        <v>16496</v>
      </c>
      <c r="B16501" s="3" t="str">
        <f>"201511026884"</f>
        <v>201511026884</v>
      </c>
    </row>
    <row r="16502" spans="1:2" x14ac:dyDescent="0.25">
      <c r="A16502" s="4">
        <v>16497</v>
      </c>
      <c r="B16502" s="3" t="str">
        <f>"201511026888"</f>
        <v>201511026888</v>
      </c>
    </row>
    <row r="16503" spans="1:2" x14ac:dyDescent="0.25">
      <c r="A16503" s="4">
        <v>16498</v>
      </c>
      <c r="B16503" s="3" t="str">
        <f>"201511026893"</f>
        <v>201511026893</v>
      </c>
    </row>
    <row r="16504" spans="1:2" x14ac:dyDescent="0.25">
      <c r="A16504" s="4">
        <v>16499</v>
      </c>
      <c r="B16504" s="3" t="str">
        <f>"201511026894"</f>
        <v>201511026894</v>
      </c>
    </row>
    <row r="16505" spans="1:2" x14ac:dyDescent="0.25">
      <c r="A16505" s="4">
        <v>16500</v>
      </c>
      <c r="B16505" s="3" t="str">
        <f>"201511026900"</f>
        <v>201511026900</v>
      </c>
    </row>
    <row r="16506" spans="1:2" x14ac:dyDescent="0.25">
      <c r="A16506" s="4">
        <v>16501</v>
      </c>
      <c r="B16506" s="3" t="str">
        <f>"201511026905"</f>
        <v>201511026905</v>
      </c>
    </row>
    <row r="16507" spans="1:2" x14ac:dyDescent="0.25">
      <c r="A16507" s="4">
        <v>16502</v>
      </c>
      <c r="B16507" s="3" t="str">
        <f>"201511026917"</f>
        <v>201511026917</v>
      </c>
    </row>
    <row r="16508" spans="1:2" x14ac:dyDescent="0.25">
      <c r="A16508" s="4">
        <v>16503</v>
      </c>
      <c r="B16508" s="3" t="str">
        <f>"201511026926"</f>
        <v>201511026926</v>
      </c>
    </row>
    <row r="16509" spans="1:2" x14ac:dyDescent="0.25">
      <c r="A16509" s="4">
        <v>16504</v>
      </c>
      <c r="B16509" s="3" t="str">
        <f>"201511026939"</f>
        <v>201511026939</v>
      </c>
    </row>
    <row r="16510" spans="1:2" x14ac:dyDescent="0.25">
      <c r="A16510" s="4">
        <v>16505</v>
      </c>
      <c r="B16510" s="3" t="str">
        <f>"201511026948"</f>
        <v>201511026948</v>
      </c>
    </row>
    <row r="16511" spans="1:2" x14ac:dyDescent="0.25">
      <c r="A16511" s="4">
        <v>16506</v>
      </c>
      <c r="B16511" s="3" t="str">
        <f>"201511026974"</f>
        <v>201511026974</v>
      </c>
    </row>
    <row r="16512" spans="1:2" x14ac:dyDescent="0.25">
      <c r="A16512" s="4">
        <v>16507</v>
      </c>
      <c r="B16512" s="3" t="str">
        <f>"201511027027"</f>
        <v>201511027027</v>
      </c>
    </row>
    <row r="16513" spans="1:2" x14ac:dyDescent="0.25">
      <c r="A16513" s="4">
        <v>16508</v>
      </c>
      <c r="B16513" s="3" t="str">
        <f>"201511027028"</f>
        <v>201511027028</v>
      </c>
    </row>
    <row r="16514" spans="1:2" x14ac:dyDescent="0.25">
      <c r="A16514" s="4">
        <v>16509</v>
      </c>
      <c r="B16514" s="3" t="str">
        <f>"201511027038"</f>
        <v>201511027038</v>
      </c>
    </row>
    <row r="16515" spans="1:2" x14ac:dyDescent="0.25">
      <c r="A16515" s="4">
        <v>16510</v>
      </c>
      <c r="B16515" s="3" t="str">
        <f>"201511027040"</f>
        <v>201511027040</v>
      </c>
    </row>
    <row r="16516" spans="1:2" x14ac:dyDescent="0.25">
      <c r="A16516" s="4">
        <v>16511</v>
      </c>
      <c r="B16516" s="3" t="str">
        <f>"201511027070"</f>
        <v>201511027070</v>
      </c>
    </row>
    <row r="16517" spans="1:2" x14ac:dyDescent="0.25">
      <c r="A16517" s="4">
        <v>16512</v>
      </c>
      <c r="B16517" s="3" t="str">
        <f>"201511027072"</f>
        <v>201511027072</v>
      </c>
    </row>
    <row r="16518" spans="1:2" x14ac:dyDescent="0.25">
      <c r="A16518" s="4">
        <v>16513</v>
      </c>
      <c r="B16518" s="3" t="str">
        <f>"201511027082"</f>
        <v>201511027082</v>
      </c>
    </row>
    <row r="16519" spans="1:2" x14ac:dyDescent="0.25">
      <c r="A16519" s="4">
        <v>16514</v>
      </c>
      <c r="B16519" s="3" t="str">
        <f>"201511027113"</f>
        <v>201511027113</v>
      </c>
    </row>
    <row r="16520" spans="1:2" x14ac:dyDescent="0.25">
      <c r="A16520" s="4">
        <v>16515</v>
      </c>
      <c r="B16520" s="3" t="str">
        <f>"201511027115"</f>
        <v>201511027115</v>
      </c>
    </row>
    <row r="16521" spans="1:2" x14ac:dyDescent="0.25">
      <c r="A16521" s="4">
        <v>16516</v>
      </c>
      <c r="B16521" s="3" t="str">
        <f>"201511027116"</f>
        <v>201511027116</v>
      </c>
    </row>
    <row r="16522" spans="1:2" x14ac:dyDescent="0.25">
      <c r="A16522" s="4">
        <v>16517</v>
      </c>
      <c r="B16522" s="3" t="str">
        <f>"201511027192"</f>
        <v>201511027192</v>
      </c>
    </row>
    <row r="16523" spans="1:2" x14ac:dyDescent="0.25">
      <c r="A16523" s="4">
        <v>16518</v>
      </c>
      <c r="B16523" s="3" t="str">
        <f>"201511027200"</f>
        <v>201511027200</v>
      </c>
    </row>
    <row r="16524" spans="1:2" x14ac:dyDescent="0.25">
      <c r="A16524" s="4">
        <v>16519</v>
      </c>
      <c r="B16524" s="3" t="str">
        <f>"201511027204"</f>
        <v>201511027204</v>
      </c>
    </row>
    <row r="16525" spans="1:2" x14ac:dyDescent="0.25">
      <c r="A16525" s="4">
        <v>16520</v>
      </c>
      <c r="B16525" s="3" t="str">
        <f>"201511027222"</f>
        <v>201511027222</v>
      </c>
    </row>
    <row r="16526" spans="1:2" x14ac:dyDescent="0.25">
      <c r="A16526" s="4">
        <v>16521</v>
      </c>
      <c r="B16526" s="3" t="str">
        <f>"201511027234"</f>
        <v>201511027234</v>
      </c>
    </row>
    <row r="16527" spans="1:2" x14ac:dyDescent="0.25">
      <c r="A16527" s="4">
        <v>16522</v>
      </c>
      <c r="B16527" s="3" t="str">
        <f>"201511027242"</f>
        <v>201511027242</v>
      </c>
    </row>
    <row r="16528" spans="1:2" x14ac:dyDescent="0.25">
      <c r="A16528" s="4">
        <v>16523</v>
      </c>
      <c r="B16528" s="3" t="str">
        <f>"201511027260"</f>
        <v>201511027260</v>
      </c>
    </row>
    <row r="16529" spans="1:2" x14ac:dyDescent="0.25">
      <c r="A16529" s="4">
        <v>16524</v>
      </c>
      <c r="B16529" s="3" t="str">
        <f>"201511027268"</f>
        <v>201511027268</v>
      </c>
    </row>
    <row r="16530" spans="1:2" x14ac:dyDescent="0.25">
      <c r="A16530" s="4">
        <v>16525</v>
      </c>
      <c r="B16530" s="3" t="str">
        <f>"201511027279"</f>
        <v>201511027279</v>
      </c>
    </row>
    <row r="16531" spans="1:2" x14ac:dyDescent="0.25">
      <c r="A16531" s="4">
        <v>16526</v>
      </c>
      <c r="B16531" s="3" t="str">
        <f>"201511027304"</f>
        <v>201511027304</v>
      </c>
    </row>
    <row r="16532" spans="1:2" x14ac:dyDescent="0.25">
      <c r="A16532" s="4">
        <v>16527</v>
      </c>
      <c r="B16532" s="3" t="str">
        <f>"201511027311"</f>
        <v>201511027311</v>
      </c>
    </row>
    <row r="16533" spans="1:2" x14ac:dyDescent="0.25">
      <c r="A16533" s="4">
        <v>16528</v>
      </c>
      <c r="B16533" s="3" t="str">
        <f>"201511027314"</f>
        <v>201511027314</v>
      </c>
    </row>
    <row r="16534" spans="1:2" x14ac:dyDescent="0.25">
      <c r="A16534" s="4">
        <v>16529</v>
      </c>
      <c r="B16534" s="3" t="str">
        <f>"201511027341"</f>
        <v>201511027341</v>
      </c>
    </row>
    <row r="16535" spans="1:2" x14ac:dyDescent="0.25">
      <c r="A16535" s="4">
        <v>16530</v>
      </c>
      <c r="B16535" s="3" t="str">
        <f>"201511027366"</f>
        <v>201511027366</v>
      </c>
    </row>
    <row r="16536" spans="1:2" x14ac:dyDescent="0.25">
      <c r="A16536" s="4">
        <v>16531</v>
      </c>
      <c r="B16536" s="3" t="str">
        <f>"201511027380"</f>
        <v>201511027380</v>
      </c>
    </row>
    <row r="16537" spans="1:2" x14ac:dyDescent="0.25">
      <c r="A16537" s="4">
        <v>16532</v>
      </c>
      <c r="B16537" s="3" t="str">
        <f>"201511027381"</f>
        <v>201511027381</v>
      </c>
    </row>
    <row r="16538" spans="1:2" x14ac:dyDescent="0.25">
      <c r="A16538" s="4">
        <v>16533</v>
      </c>
      <c r="B16538" s="3" t="str">
        <f>"201511027411"</f>
        <v>201511027411</v>
      </c>
    </row>
    <row r="16539" spans="1:2" x14ac:dyDescent="0.25">
      <c r="A16539" s="4">
        <v>16534</v>
      </c>
      <c r="B16539" s="3" t="str">
        <f>"201511027414"</f>
        <v>201511027414</v>
      </c>
    </row>
    <row r="16540" spans="1:2" x14ac:dyDescent="0.25">
      <c r="A16540" s="4">
        <v>16535</v>
      </c>
      <c r="B16540" s="3" t="str">
        <f>"201511027417"</f>
        <v>201511027417</v>
      </c>
    </row>
    <row r="16541" spans="1:2" x14ac:dyDescent="0.25">
      <c r="A16541" s="4">
        <v>16536</v>
      </c>
      <c r="B16541" s="3" t="str">
        <f>"201511027420"</f>
        <v>201511027420</v>
      </c>
    </row>
    <row r="16542" spans="1:2" x14ac:dyDescent="0.25">
      <c r="A16542" s="4">
        <v>16537</v>
      </c>
      <c r="B16542" s="3" t="str">
        <f>"201511027430"</f>
        <v>201511027430</v>
      </c>
    </row>
    <row r="16543" spans="1:2" x14ac:dyDescent="0.25">
      <c r="A16543" s="4">
        <v>16538</v>
      </c>
      <c r="B16543" s="3" t="str">
        <f>"201511027432"</f>
        <v>201511027432</v>
      </c>
    </row>
    <row r="16544" spans="1:2" x14ac:dyDescent="0.25">
      <c r="A16544" s="4">
        <v>16539</v>
      </c>
      <c r="B16544" s="3" t="str">
        <f>"201511027433"</f>
        <v>201511027433</v>
      </c>
    </row>
    <row r="16545" spans="1:2" x14ac:dyDescent="0.25">
      <c r="A16545" s="4">
        <v>16540</v>
      </c>
      <c r="B16545" s="3" t="str">
        <f>"201511027467"</f>
        <v>201511027467</v>
      </c>
    </row>
    <row r="16546" spans="1:2" x14ac:dyDescent="0.25">
      <c r="A16546" s="4">
        <v>16541</v>
      </c>
      <c r="B16546" s="3" t="str">
        <f>"201511027482"</f>
        <v>201511027482</v>
      </c>
    </row>
    <row r="16547" spans="1:2" x14ac:dyDescent="0.25">
      <c r="A16547" s="4">
        <v>16542</v>
      </c>
      <c r="B16547" s="3" t="str">
        <f>"201511027489"</f>
        <v>201511027489</v>
      </c>
    </row>
    <row r="16548" spans="1:2" x14ac:dyDescent="0.25">
      <c r="A16548" s="4">
        <v>16543</v>
      </c>
      <c r="B16548" s="3" t="str">
        <f>"201511027502"</f>
        <v>201511027502</v>
      </c>
    </row>
    <row r="16549" spans="1:2" x14ac:dyDescent="0.25">
      <c r="A16549" s="4">
        <v>16544</v>
      </c>
      <c r="B16549" s="3" t="str">
        <f>"201511027505"</f>
        <v>201511027505</v>
      </c>
    </row>
    <row r="16550" spans="1:2" x14ac:dyDescent="0.25">
      <c r="A16550" s="4">
        <v>16545</v>
      </c>
      <c r="B16550" s="3" t="str">
        <f>"201511027514"</f>
        <v>201511027514</v>
      </c>
    </row>
    <row r="16551" spans="1:2" x14ac:dyDescent="0.25">
      <c r="A16551" s="4">
        <v>16546</v>
      </c>
      <c r="B16551" s="3" t="str">
        <f>"201511027520"</f>
        <v>201511027520</v>
      </c>
    </row>
    <row r="16552" spans="1:2" x14ac:dyDescent="0.25">
      <c r="A16552" s="4">
        <v>16547</v>
      </c>
      <c r="B16552" s="3" t="str">
        <f>"201511027524"</f>
        <v>201511027524</v>
      </c>
    </row>
    <row r="16553" spans="1:2" x14ac:dyDescent="0.25">
      <c r="A16553" s="4">
        <v>16548</v>
      </c>
      <c r="B16553" s="3" t="str">
        <f>"201511027525"</f>
        <v>201511027525</v>
      </c>
    </row>
    <row r="16554" spans="1:2" x14ac:dyDescent="0.25">
      <c r="A16554" s="4">
        <v>16549</v>
      </c>
      <c r="B16554" s="3" t="str">
        <f>"201511027540"</f>
        <v>201511027540</v>
      </c>
    </row>
    <row r="16555" spans="1:2" x14ac:dyDescent="0.25">
      <c r="A16555" s="4">
        <v>16550</v>
      </c>
      <c r="B16555" s="3" t="str">
        <f>"201511027542"</f>
        <v>201511027542</v>
      </c>
    </row>
    <row r="16556" spans="1:2" x14ac:dyDescent="0.25">
      <c r="A16556" s="4">
        <v>16551</v>
      </c>
      <c r="B16556" s="3" t="str">
        <f>"201511027574"</f>
        <v>201511027574</v>
      </c>
    </row>
    <row r="16557" spans="1:2" x14ac:dyDescent="0.25">
      <c r="A16557" s="4">
        <v>16552</v>
      </c>
      <c r="B16557" s="3" t="str">
        <f>"201511027580"</f>
        <v>201511027580</v>
      </c>
    </row>
    <row r="16558" spans="1:2" x14ac:dyDescent="0.25">
      <c r="A16558" s="4">
        <v>16553</v>
      </c>
      <c r="B16558" s="3" t="str">
        <f>"201511027585"</f>
        <v>201511027585</v>
      </c>
    </row>
    <row r="16559" spans="1:2" x14ac:dyDescent="0.25">
      <c r="A16559" s="4">
        <v>16554</v>
      </c>
      <c r="B16559" s="3" t="str">
        <f>"201511027609"</f>
        <v>201511027609</v>
      </c>
    </row>
    <row r="16560" spans="1:2" x14ac:dyDescent="0.25">
      <c r="A16560" s="4">
        <v>16555</v>
      </c>
      <c r="B16560" s="3" t="str">
        <f>"201511027613"</f>
        <v>201511027613</v>
      </c>
    </row>
    <row r="16561" spans="1:2" x14ac:dyDescent="0.25">
      <c r="A16561" s="4">
        <v>16556</v>
      </c>
      <c r="B16561" s="3" t="str">
        <f>"201511027636"</f>
        <v>201511027636</v>
      </c>
    </row>
    <row r="16562" spans="1:2" x14ac:dyDescent="0.25">
      <c r="A16562" s="4">
        <v>16557</v>
      </c>
      <c r="B16562" s="3" t="str">
        <f>"201511027639"</f>
        <v>201511027639</v>
      </c>
    </row>
    <row r="16563" spans="1:2" x14ac:dyDescent="0.25">
      <c r="A16563" s="4">
        <v>16558</v>
      </c>
      <c r="B16563" s="3" t="str">
        <f>"201511027641"</f>
        <v>201511027641</v>
      </c>
    </row>
    <row r="16564" spans="1:2" x14ac:dyDescent="0.25">
      <c r="A16564" s="4">
        <v>16559</v>
      </c>
      <c r="B16564" s="3" t="str">
        <f>"201511027647"</f>
        <v>201511027647</v>
      </c>
    </row>
    <row r="16565" spans="1:2" x14ac:dyDescent="0.25">
      <c r="A16565" s="4">
        <v>16560</v>
      </c>
      <c r="B16565" s="3" t="str">
        <f>"201511027653"</f>
        <v>201511027653</v>
      </c>
    </row>
    <row r="16566" spans="1:2" x14ac:dyDescent="0.25">
      <c r="A16566" s="4">
        <v>16561</v>
      </c>
      <c r="B16566" s="3" t="str">
        <f>"201511027668"</f>
        <v>201511027668</v>
      </c>
    </row>
    <row r="16567" spans="1:2" x14ac:dyDescent="0.25">
      <c r="A16567" s="4">
        <v>16562</v>
      </c>
      <c r="B16567" s="3" t="str">
        <f>"201511027704"</f>
        <v>201511027704</v>
      </c>
    </row>
    <row r="16568" spans="1:2" x14ac:dyDescent="0.25">
      <c r="A16568" s="4">
        <v>16563</v>
      </c>
      <c r="B16568" s="3" t="str">
        <f>"201511027724"</f>
        <v>201511027724</v>
      </c>
    </row>
    <row r="16569" spans="1:2" x14ac:dyDescent="0.25">
      <c r="A16569" s="4">
        <v>16564</v>
      </c>
      <c r="B16569" s="3" t="str">
        <f>"201511027733"</f>
        <v>201511027733</v>
      </c>
    </row>
    <row r="16570" spans="1:2" x14ac:dyDescent="0.25">
      <c r="A16570" s="4">
        <v>16565</v>
      </c>
      <c r="B16570" s="3" t="str">
        <f>"201511027738"</f>
        <v>201511027738</v>
      </c>
    </row>
    <row r="16571" spans="1:2" x14ac:dyDescent="0.25">
      <c r="A16571" s="4">
        <v>16566</v>
      </c>
      <c r="B16571" s="3" t="str">
        <f>"201511027751"</f>
        <v>201511027751</v>
      </c>
    </row>
    <row r="16572" spans="1:2" x14ac:dyDescent="0.25">
      <c r="A16572" s="4">
        <v>16567</v>
      </c>
      <c r="B16572" s="3" t="str">
        <f>"201511027763"</f>
        <v>201511027763</v>
      </c>
    </row>
    <row r="16573" spans="1:2" x14ac:dyDescent="0.25">
      <c r="A16573" s="4">
        <v>16568</v>
      </c>
      <c r="B16573" s="3" t="str">
        <f>"201511027798"</f>
        <v>201511027798</v>
      </c>
    </row>
    <row r="16574" spans="1:2" x14ac:dyDescent="0.25">
      <c r="A16574" s="4">
        <v>16569</v>
      </c>
      <c r="B16574" s="3" t="str">
        <f>"201511027807"</f>
        <v>201511027807</v>
      </c>
    </row>
    <row r="16575" spans="1:2" x14ac:dyDescent="0.25">
      <c r="A16575" s="4">
        <v>16570</v>
      </c>
      <c r="B16575" s="3" t="str">
        <f>"201511027809"</f>
        <v>201511027809</v>
      </c>
    </row>
    <row r="16576" spans="1:2" x14ac:dyDescent="0.25">
      <c r="A16576" s="4">
        <v>16571</v>
      </c>
      <c r="B16576" s="3" t="str">
        <f>"201511027814"</f>
        <v>201511027814</v>
      </c>
    </row>
    <row r="16577" spans="1:2" x14ac:dyDescent="0.25">
      <c r="A16577" s="4">
        <v>16572</v>
      </c>
      <c r="B16577" s="3" t="str">
        <f>"201511027816"</f>
        <v>201511027816</v>
      </c>
    </row>
    <row r="16578" spans="1:2" x14ac:dyDescent="0.25">
      <c r="A16578" s="4">
        <v>16573</v>
      </c>
      <c r="B16578" s="3" t="str">
        <f>"201511027817"</f>
        <v>201511027817</v>
      </c>
    </row>
    <row r="16579" spans="1:2" x14ac:dyDescent="0.25">
      <c r="A16579" s="4">
        <v>16574</v>
      </c>
      <c r="B16579" s="3" t="str">
        <f>"201511027851"</f>
        <v>201511027851</v>
      </c>
    </row>
    <row r="16580" spans="1:2" x14ac:dyDescent="0.25">
      <c r="A16580" s="4">
        <v>16575</v>
      </c>
      <c r="B16580" s="3" t="str">
        <f>"201511027905"</f>
        <v>201511027905</v>
      </c>
    </row>
    <row r="16581" spans="1:2" x14ac:dyDescent="0.25">
      <c r="A16581" s="4">
        <v>16576</v>
      </c>
      <c r="B16581" s="3" t="str">
        <f>"201511027944"</f>
        <v>201511027944</v>
      </c>
    </row>
    <row r="16582" spans="1:2" x14ac:dyDescent="0.25">
      <c r="A16582" s="4">
        <v>16577</v>
      </c>
      <c r="B16582" s="3" t="str">
        <f>"201511027950"</f>
        <v>201511027950</v>
      </c>
    </row>
    <row r="16583" spans="1:2" x14ac:dyDescent="0.25">
      <c r="A16583" s="4">
        <v>16578</v>
      </c>
      <c r="B16583" s="3" t="str">
        <f>"201511027952"</f>
        <v>201511027952</v>
      </c>
    </row>
    <row r="16584" spans="1:2" x14ac:dyDescent="0.25">
      <c r="A16584" s="4">
        <v>16579</v>
      </c>
      <c r="B16584" s="3" t="str">
        <f>"201511027971"</f>
        <v>201511027971</v>
      </c>
    </row>
    <row r="16585" spans="1:2" x14ac:dyDescent="0.25">
      <c r="A16585" s="4">
        <v>16580</v>
      </c>
      <c r="B16585" s="3" t="str">
        <f>"201511027986"</f>
        <v>201511027986</v>
      </c>
    </row>
    <row r="16586" spans="1:2" x14ac:dyDescent="0.25">
      <c r="A16586" s="4">
        <v>16581</v>
      </c>
      <c r="B16586" s="3" t="str">
        <f>"201511028068"</f>
        <v>201511028068</v>
      </c>
    </row>
    <row r="16587" spans="1:2" x14ac:dyDescent="0.25">
      <c r="A16587" s="4">
        <v>16582</v>
      </c>
      <c r="B16587" s="3" t="str">
        <f>"201511028109"</f>
        <v>201511028109</v>
      </c>
    </row>
    <row r="16588" spans="1:2" x14ac:dyDescent="0.25">
      <c r="A16588" s="4">
        <v>16583</v>
      </c>
      <c r="B16588" s="3" t="str">
        <f>"201511028168"</f>
        <v>201511028168</v>
      </c>
    </row>
    <row r="16589" spans="1:2" x14ac:dyDescent="0.25">
      <c r="A16589" s="4">
        <v>16584</v>
      </c>
      <c r="B16589" s="3" t="str">
        <f>"201511028208"</f>
        <v>201511028208</v>
      </c>
    </row>
    <row r="16590" spans="1:2" x14ac:dyDescent="0.25">
      <c r="A16590" s="4">
        <v>16585</v>
      </c>
      <c r="B16590" s="3" t="str">
        <f>"201511028223"</f>
        <v>201511028223</v>
      </c>
    </row>
    <row r="16591" spans="1:2" x14ac:dyDescent="0.25">
      <c r="A16591" s="4">
        <v>16586</v>
      </c>
      <c r="B16591" s="3" t="str">
        <f>"201511028226"</f>
        <v>201511028226</v>
      </c>
    </row>
    <row r="16592" spans="1:2" x14ac:dyDescent="0.25">
      <c r="A16592" s="4">
        <v>16587</v>
      </c>
      <c r="B16592" s="3" t="str">
        <f>"201511028230"</f>
        <v>201511028230</v>
      </c>
    </row>
    <row r="16593" spans="1:2" x14ac:dyDescent="0.25">
      <c r="A16593" s="4">
        <v>16588</v>
      </c>
      <c r="B16593" s="3" t="str">
        <f>"201511028243"</f>
        <v>201511028243</v>
      </c>
    </row>
    <row r="16594" spans="1:2" x14ac:dyDescent="0.25">
      <c r="A16594" s="4">
        <v>16589</v>
      </c>
      <c r="B16594" s="3" t="str">
        <f>"201511028251"</f>
        <v>201511028251</v>
      </c>
    </row>
    <row r="16595" spans="1:2" x14ac:dyDescent="0.25">
      <c r="A16595" s="4">
        <v>16590</v>
      </c>
      <c r="B16595" s="3" t="str">
        <f>"201511028255"</f>
        <v>201511028255</v>
      </c>
    </row>
    <row r="16596" spans="1:2" x14ac:dyDescent="0.25">
      <c r="A16596" s="4">
        <v>16591</v>
      </c>
      <c r="B16596" s="3" t="str">
        <f>"201511028256"</f>
        <v>201511028256</v>
      </c>
    </row>
    <row r="16597" spans="1:2" x14ac:dyDescent="0.25">
      <c r="A16597" s="4">
        <v>16592</v>
      </c>
      <c r="B16597" s="3" t="str">
        <f>"201511028260"</f>
        <v>201511028260</v>
      </c>
    </row>
    <row r="16598" spans="1:2" x14ac:dyDescent="0.25">
      <c r="A16598" s="4">
        <v>16593</v>
      </c>
      <c r="B16598" s="3" t="str">
        <f>"201511028281"</f>
        <v>201511028281</v>
      </c>
    </row>
    <row r="16599" spans="1:2" x14ac:dyDescent="0.25">
      <c r="A16599" s="4">
        <v>16594</v>
      </c>
      <c r="B16599" s="3" t="str">
        <f>"201511028289"</f>
        <v>201511028289</v>
      </c>
    </row>
    <row r="16600" spans="1:2" x14ac:dyDescent="0.25">
      <c r="A16600" s="4">
        <v>16595</v>
      </c>
      <c r="B16600" s="3" t="str">
        <f>"201511028296"</f>
        <v>201511028296</v>
      </c>
    </row>
    <row r="16601" spans="1:2" x14ac:dyDescent="0.25">
      <c r="A16601" s="4">
        <v>16596</v>
      </c>
      <c r="B16601" s="3" t="str">
        <f>"201511028304"</f>
        <v>201511028304</v>
      </c>
    </row>
    <row r="16602" spans="1:2" x14ac:dyDescent="0.25">
      <c r="A16602" s="4">
        <v>16597</v>
      </c>
      <c r="B16602" s="3" t="str">
        <f>"201511028311"</f>
        <v>201511028311</v>
      </c>
    </row>
    <row r="16603" spans="1:2" x14ac:dyDescent="0.25">
      <c r="A16603" s="4">
        <v>16598</v>
      </c>
      <c r="B16603" s="3" t="str">
        <f>"201511028327"</f>
        <v>201511028327</v>
      </c>
    </row>
    <row r="16604" spans="1:2" x14ac:dyDescent="0.25">
      <c r="A16604" s="4">
        <v>16599</v>
      </c>
      <c r="B16604" s="3" t="str">
        <f>"201511028328"</f>
        <v>201511028328</v>
      </c>
    </row>
    <row r="16605" spans="1:2" x14ac:dyDescent="0.25">
      <c r="A16605" s="4">
        <v>16600</v>
      </c>
      <c r="B16605" s="3" t="str">
        <f>"201511028344"</f>
        <v>201511028344</v>
      </c>
    </row>
    <row r="16606" spans="1:2" x14ac:dyDescent="0.25">
      <c r="A16606" s="4">
        <v>16601</v>
      </c>
      <c r="B16606" s="3" t="str">
        <f>"201511028349"</f>
        <v>201511028349</v>
      </c>
    </row>
    <row r="16607" spans="1:2" x14ac:dyDescent="0.25">
      <c r="A16607" s="4">
        <v>16602</v>
      </c>
      <c r="B16607" s="3" t="str">
        <f>"201511028355"</f>
        <v>201511028355</v>
      </c>
    </row>
    <row r="16608" spans="1:2" x14ac:dyDescent="0.25">
      <c r="A16608" s="4">
        <v>16603</v>
      </c>
      <c r="B16608" s="3" t="str">
        <f>"201511028364"</f>
        <v>201511028364</v>
      </c>
    </row>
    <row r="16609" spans="1:2" x14ac:dyDescent="0.25">
      <c r="A16609" s="4">
        <v>16604</v>
      </c>
      <c r="B16609" s="3" t="str">
        <f>"201511028376"</f>
        <v>201511028376</v>
      </c>
    </row>
    <row r="16610" spans="1:2" x14ac:dyDescent="0.25">
      <c r="A16610" s="4">
        <v>16605</v>
      </c>
      <c r="B16610" s="3" t="str">
        <f>"201511028388"</f>
        <v>201511028388</v>
      </c>
    </row>
    <row r="16611" spans="1:2" x14ac:dyDescent="0.25">
      <c r="A16611" s="4">
        <v>16606</v>
      </c>
      <c r="B16611" s="3" t="str">
        <f>"201511028396"</f>
        <v>201511028396</v>
      </c>
    </row>
    <row r="16612" spans="1:2" x14ac:dyDescent="0.25">
      <c r="A16612" s="4">
        <v>16607</v>
      </c>
      <c r="B16612" s="3" t="str">
        <f>"201511028428"</f>
        <v>201511028428</v>
      </c>
    </row>
    <row r="16613" spans="1:2" x14ac:dyDescent="0.25">
      <c r="A16613" s="4">
        <v>16608</v>
      </c>
      <c r="B16613" s="3" t="str">
        <f>"201511028435"</f>
        <v>201511028435</v>
      </c>
    </row>
    <row r="16614" spans="1:2" x14ac:dyDescent="0.25">
      <c r="A16614" s="4">
        <v>16609</v>
      </c>
      <c r="B16614" s="3" t="str">
        <f>"201511028442"</f>
        <v>201511028442</v>
      </c>
    </row>
    <row r="16615" spans="1:2" x14ac:dyDescent="0.25">
      <c r="A16615" s="4">
        <v>16610</v>
      </c>
      <c r="B16615" s="3" t="str">
        <f>"201511028451"</f>
        <v>201511028451</v>
      </c>
    </row>
    <row r="16616" spans="1:2" x14ac:dyDescent="0.25">
      <c r="A16616" s="4">
        <v>16611</v>
      </c>
      <c r="B16616" s="3" t="str">
        <f>"201511028485"</f>
        <v>201511028485</v>
      </c>
    </row>
    <row r="16617" spans="1:2" x14ac:dyDescent="0.25">
      <c r="A16617" s="4">
        <v>16612</v>
      </c>
      <c r="B16617" s="3" t="str">
        <f>"201511028487"</f>
        <v>201511028487</v>
      </c>
    </row>
    <row r="16618" spans="1:2" x14ac:dyDescent="0.25">
      <c r="A16618" s="4">
        <v>16613</v>
      </c>
      <c r="B16618" s="3" t="str">
        <f>"201511028576"</f>
        <v>201511028576</v>
      </c>
    </row>
    <row r="16619" spans="1:2" x14ac:dyDescent="0.25">
      <c r="A16619" s="4">
        <v>16614</v>
      </c>
      <c r="B16619" s="3" t="str">
        <f>"201511028591"</f>
        <v>201511028591</v>
      </c>
    </row>
    <row r="16620" spans="1:2" x14ac:dyDescent="0.25">
      <c r="A16620" s="4">
        <v>16615</v>
      </c>
      <c r="B16620" s="3" t="str">
        <f>"201511028594"</f>
        <v>201511028594</v>
      </c>
    </row>
    <row r="16621" spans="1:2" x14ac:dyDescent="0.25">
      <c r="A16621" s="4">
        <v>16616</v>
      </c>
      <c r="B16621" s="3" t="str">
        <f>"201511028595"</f>
        <v>201511028595</v>
      </c>
    </row>
    <row r="16622" spans="1:2" x14ac:dyDescent="0.25">
      <c r="A16622" s="4">
        <v>16617</v>
      </c>
      <c r="B16622" s="3" t="str">
        <f>"201511028614"</f>
        <v>201511028614</v>
      </c>
    </row>
    <row r="16623" spans="1:2" x14ac:dyDescent="0.25">
      <c r="A16623" s="4">
        <v>16618</v>
      </c>
      <c r="B16623" s="3" t="str">
        <f>"201511028618"</f>
        <v>201511028618</v>
      </c>
    </row>
    <row r="16624" spans="1:2" x14ac:dyDescent="0.25">
      <c r="A16624" s="4">
        <v>16619</v>
      </c>
      <c r="B16624" s="3" t="str">
        <f>"201511028650"</f>
        <v>201511028650</v>
      </c>
    </row>
    <row r="16625" spans="1:2" x14ac:dyDescent="0.25">
      <c r="A16625" s="4">
        <v>16620</v>
      </c>
      <c r="B16625" s="3" t="str">
        <f>"201511028651"</f>
        <v>201511028651</v>
      </c>
    </row>
    <row r="16626" spans="1:2" x14ac:dyDescent="0.25">
      <c r="A16626" s="4">
        <v>16621</v>
      </c>
      <c r="B16626" s="3" t="str">
        <f>"201511028679"</f>
        <v>201511028679</v>
      </c>
    </row>
    <row r="16627" spans="1:2" x14ac:dyDescent="0.25">
      <c r="A16627" s="4">
        <v>16622</v>
      </c>
      <c r="B16627" s="3" t="str">
        <f>"201511028697"</f>
        <v>201511028697</v>
      </c>
    </row>
    <row r="16628" spans="1:2" x14ac:dyDescent="0.25">
      <c r="A16628" s="4">
        <v>16623</v>
      </c>
      <c r="B16628" s="3" t="str">
        <f>"201511028699"</f>
        <v>201511028699</v>
      </c>
    </row>
    <row r="16629" spans="1:2" x14ac:dyDescent="0.25">
      <c r="A16629" s="4">
        <v>16624</v>
      </c>
      <c r="B16629" s="3" t="str">
        <f>"201511028707"</f>
        <v>201511028707</v>
      </c>
    </row>
    <row r="16630" spans="1:2" x14ac:dyDescent="0.25">
      <c r="A16630" s="4">
        <v>16625</v>
      </c>
      <c r="B16630" s="3" t="str">
        <f>"201511028727"</f>
        <v>201511028727</v>
      </c>
    </row>
    <row r="16631" spans="1:2" x14ac:dyDescent="0.25">
      <c r="A16631" s="4">
        <v>16626</v>
      </c>
      <c r="B16631" s="3" t="str">
        <f>"201511028762"</f>
        <v>201511028762</v>
      </c>
    </row>
    <row r="16632" spans="1:2" x14ac:dyDescent="0.25">
      <c r="A16632" s="4">
        <v>16627</v>
      </c>
      <c r="B16632" s="3" t="str">
        <f>"201511028794"</f>
        <v>201511028794</v>
      </c>
    </row>
    <row r="16633" spans="1:2" x14ac:dyDescent="0.25">
      <c r="A16633" s="4">
        <v>16628</v>
      </c>
      <c r="B16633" s="3" t="str">
        <f>"201511028801"</f>
        <v>201511028801</v>
      </c>
    </row>
    <row r="16634" spans="1:2" x14ac:dyDescent="0.25">
      <c r="A16634" s="4">
        <v>16629</v>
      </c>
      <c r="B16634" s="3" t="str">
        <f>"201511028837"</f>
        <v>201511028837</v>
      </c>
    </row>
    <row r="16635" spans="1:2" x14ac:dyDescent="0.25">
      <c r="A16635" s="4">
        <v>16630</v>
      </c>
      <c r="B16635" s="3" t="str">
        <f>"201511028854"</f>
        <v>201511028854</v>
      </c>
    </row>
    <row r="16636" spans="1:2" x14ac:dyDescent="0.25">
      <c r="A16636" s="4">
        <v>16631</v>
      </c>
      <c r="B16636" s="3" t="str">
        <f>"201511028861"</f>
        <v>201511028861</v>
      </c>
    </row>
    <row r="16637" spans="1:2" x14ac:dyDescent="0.25">
      <c r="A16637" s="4">
        <v>16632</v>
      </c>
      <c r="B16637" s="3" t="str">
        <f>"201511028864"</f>
        <v>201511028864</v>
      </c>
    </row>
    <row r="16638" spans="1:2" x14ac:dyDescent="0.25">
      <c r="A16638" s="4">
        <v>16633</v>
      </c>
      <c r="B16638" s="3" t="str">
        <f>"201511028872"</f>
        <v>201511028872</v>
      </c>
    </row>
    <row r="16639" spans="1:2" x14ac:dyDescent="0.25">
      <c r="A16639" s="4">
        <v>16634</v>
      </c>
      <c r="B16639" s="3" t="str">
        <f>"201511028877"</f>
        <v>201511028877</v>
      </c>
    </row>
    <row r="16640" spans="1:2" x14ac:dyDescent="0.25">
      <c r="A16640" s="4">
        <v>16635</v>
      </c>
      <c r="B16640" s="3" t="str">
        <f>"201511028890"</f>
        <v>201511028890</v>
      </c>
    </row>
    <row r="16641" spans="1:2" x14ac:dyDescent="0.25">
      <c r="A16641" s="4">
        <v>16636</v>
      </c>
      <c r="B16641" s="3" t="str">
        <f>"201511028900"</f>
        <v>201511028900</v>
      </c>
    </row>
    <row r="16642" spans="1:2" x14ac:dyDescent="0.25">
      <c r="A16642" s="4">
        <v>16637</v>
      </c>
      <c r="B16642" s="3" t="str">
        <f>"201511028910"</f>
        <v>201511028910</v>
      </c>
    </row>
    <row r="16643" spans="1:2" x14ac:dyDescent="0.25">
      <c r="A16643" s="4">
        <v>16638</v>
      </c>
      <c r="B16643" s="3" t="str">
        <f>"201511028912"</f>
        <v>201511028912</v>
      </c>
    </row>
    <row r="16644" spans="1:2" x14ac:dyDescent="0.25">
      <c r="A16644" s="4">
        <v>16639</v>
      </c>
      <c r="B16644" s="3" t="str">
        <f>"201511028916"</f>
        <v>201511028916</v>
      </c>
    </row>
    <row r="16645" spans="1:2" x14ac:dyDescent="0.25">
      <c r="A16645" s="4">
        <v>16640</v>
      </c>
      <c r="B16645" s="3" t="str">
        <f>"201511028928"</f>
        <v>201511028928</v>
      </c>
    </row>
    <row r="16646" spans="1:2" x14ac:dyDescent="0.25">
      <c r="A16646" s="4">
        <v>16641</v>
      </c>
      <c r="B16646" s="3" t="str">
        <f>"201511028946"</f>
        <v>201511028946</v>
      </c>
    </row>
    <row r="16647" spans="1:2" x14ac:dyDescent="0.25">
      <c r="A16647" s="4">
        <v>16642</v>
      </c>
      <c r="B16647" s="3" t="str">
        <f>"201511028948"</f>
        <v>201511028948</v>
      </c>
    </row>
    <row r="16648" spans="1:2" x14ac:dyDescent="0.25">
      <c r="A16648" s="4">
        <v>16643</v>
      </c>
      <c r="B16648" s="3" t="str">
        <f>"201511028949"</f>
        <v>201511028949</v>
      </c>
    </row>
    <row r="16649" spans="1:2" x14ac:dyDescent="0.25">
      <c r="A16649" s="4">
        <v>16644</v>
      </c>
      <c r="B16649" s="3" t="str">
        <f>"201511028950"</f>
        <v>201511028950</v>
      </c>
    </row>
    <row r="16650" spans="1:2" x14ac:dyDescent="0.25">
      <c r="A16650" s="4">
        <v>16645</v>
      </c>
      <c r="B16650" s="3" t="str">
        <f>"201511028954"</f>
        <v>201511028954</v>
      </c>
    </row>
    <row r="16651" spans="1:2" x14ac:dyDescent="0.25">
      <c r="A16651" s="4">
        <v>16646</v>
      </c>
      <c r="B16651" s="3" t="str">
        <f>"201511028956"</f>
        <v>201511028956</v>
      </c>
    </row>
    <row r="16652" spans="1:2" x14ac:dyDescent="0.25">
      <c r="A16652" s="4">
        <v>16647</v>
      </c>
      <c r="B16652" s="3" t="str">
        <f>"201511028969"</f>
        <v>201511028969</v>
      </c>
    </row>
    <row r="16653" spans="1:2" x14ac:dyDescent="0.25">
      <c r="A16653" s="4">
        <v>16648</v>
      </c>
      <c r="B16653" s="3" t="str">
        <f>"201511028971"</f>
        <v>201511028971</v>
      </c>
    </row>
    <row r="16654" spans="1:2" x14ac:dyDescent="0.25">
      <c r="A16654" s="4">
        <v>16649</v>
      </c>
      <c r="B16654" s="3" t="str">
        <f>"201511028973"</f>
        <v>201511028973</v>
      </c>
    </row>
    <row r="16655" spans="1:2" x14ac:dyDescent="0.25">
      <c r="A16655" s="4">
        <v>16650</v>
      </c>
      <c r="B16655" s="3" t="str">
        <f>"201511028984"</f>
        <v>201511028984</v>
      </c>
    </row>
    <row r="16656" spans="1:2" x14ac:dyDescent="0.25">
      <c r="A16656" s="4">
        <v>16651</v>
      </c>
      <c r="B16656" s="3" t="str">
        <f>"201511028994"</f>
        <v>201511028994</v>
      </c>
    </row>
    <row r="16657" spans="1:2" x14ac:dyDescent="0.25">
      <c r="A16657" s="4">
        <v>16652</v>
      </c>
      <c r="B16657" s="3" t="str">
        <f>"201511029029"</f>
        <v>201511029029</v>
      </c>
    </row>
    <row r="16658" spans="1:2" x14ac:dyDescent="0.25">
      <c r="A16658" s="4">
        <v>16653</v>
      </c>
      <c r="B16658" s="3" t="str">
        <f>"201511029038"</f>
        <v>201511029038</v>
      </c>
    </row>
    <row r="16659" spans="1:2" x14ac:dyDescent="0.25">
      <c r="A16659" s="4">
        <v>16654</v>
      </c>
      <c r="B16659" s="3" t="str">
        <f>"201511029088"</f>
        <v>201511029088</v>
      </c>
    </row>
    <row r="16660" spans="1:2" x14ac:dyDescent="0.25">
      <c r="A16660" s="4">
        <v>16655</v>
      </c>
      <c r="B16660" s="3" t="str">
        <f>"201511029100"</f>
        <v>201511029100</v>
      </c>
    </row>
    <row r="16661" spans="1:2" x14ac:dyDescent="0.25">
      <c r="A16661" s="4">
        <v>16656</v>
      </c>
      <c r="B16661" s="3" t="str">
        <f>"201511029119"</f>
        <v>201511029119</v>
      </c>
    </row>
    <row r="16662" spans="1:2" x14ac:dyDescent="0.25">
      <c r="A16662" s="4">
        <v>16657</v>
      </c>
      <c r="B16662" s="3" t="str">
        <f>"201511029129"</f>
        <v>201511029129</v>
      </c>
    </row>
    <row r="16663" spans="1:2" x14ac:dyDescent="0.25">
      <c r="A16663" s="4">
        <v>16658</v>
      </c>
      <c r="B16663" s="3" t="str">
        <f>"201511029168"</f>
        <v>201511029168</v>
      </c>
    </row>
    <row r="16664" spans="1:2" x14ac:dyDescent="0.25">
      <c r="A16664" s="4">
        <v>16659</v>
      </c>
      <c r="B16664" s="3" t="str">
        <f>"201511029175"</f>
        <v>201511029175</v>
      </c>
    </row>
    <row r="16665" spans="1:2" x14ac:dyDescent="0.25">
      <c r="A16665" s="4">
        <v>16660</v>
      </c>
      <c r="B16665" s="3" t="str">
        <f>"201511029200"</f>
        <v>201511029200</v>
      </c>
    </row>
    <row r="16666" spans="1:2" x14ac:dyDescent="0.25">
      <c r="A16666" s="4">
        <v>16661</v>
      </c>
      <c r="B16666" s="3" t="str">
        <f>"201511029203"</f>
        <v>201511029203</v>
      </c>
    </row>
    <row r="16667" spans="1:2" x14ac:dyDescent="0.25">
      <c r="A16667" s="4">
        <v>16662</v>
      </c>
      <c r="B16667" s="3" t="str">
        <f>"201511029210"</f>
        <v>201511029210</v>
      </c>
    </row>
    <row r="16668" spans="1:2" x14ac:dyDescent="0.25">
      <c r="A16668" s="4">
        <v>16663</v>
      </c>
      <c r="B16668" s="3" t="str">
        <f>"201511029226"</f>
        <v>201511029226</v>
      </c>
    </row>
    <row r="16669" spans="1:2" x14ac:dyDescent="0.25">
      <c r="A16669" s="4">
        <v>16664</v>
      </c>
      <c r="B16669" s="3" t="str">
        <f>"201511029237"</f>
        <v>201511029237</v>
      </c>
    </row>
    <row r="16670" spans="1:2" x14ac:dyDescent="0.25">
      <c r="A16670" s="4">
        <v>16665</v>
      </c>
      <c r="B16670" s="3" t="str">
        <f>"201511029261"</f>
        <v>201511029261</v>
      </c>
    </row>
    <row r="16671" spans="1:2" x14ac:dyDescent="0.25">
      <c r="A16671" s="4">
        <v>16666</v>
      </c>
      <c r="B16671" s="3" t="str">
        <f>"201511029305"</f>
        <v>201511029305</v>
      </c>
    </row>
    <row r="16672" spans="1:2" x14ac:dyDescent="0.25">
      <c r="A16672" s="4">
        <v>16667</v>
      </c>
      <c r="B16672" s="3" t="str">
        <f>"201511029315"</f>
        <v>201511029315</v>
      </c>
    </row>
    <row r="16673" spans="1:2" x14ac:dyDescent="0.25">
      <c r="A16673" s="4">
        <v>16668</v>
      </c>
      <c r="B16673" s="3" t="str">
        <f>"201511029346"</f>
        <v>201511029346</v>
      </c>
    </row>
    <row r="16674" spans="1:2" x14ac:dyDescent="0.25">
      <c r="A16674" s="4">
        <v>16669</v>
      </c>
      <c r="B16674" s="3" t="str">
        <f>"201511029363"</f>
        <v>201511029363</v>
      </c>
    </row>
    <row r="16675" spans="1:2" x14ac:dyDescent="0.25">
      <c r="A16675" s="4">
        <v>16670</v>
      </c>
      <c r="B16675" s="3" t="str">
        <f>"201511029370"</f>
        <v>201511029370</v>
      </c>
    </row>
    <row r="16676" spans="1:2" x14ac:dyDescent="0.25">
      <c r="A16676" s="4">
        <v>16671</v>
      </c>
      <c r="B16676" s="3" t="str">
        <f>"201511029371"</f>
        <v>201511029371</v>
      </c>
    </row>
    <row r="16677" spans="1:2" x14ac:dyDescent="0.25">
      <c r="A16677" s="4">
        <v>16672</v>
      </c>
      <c r="B16677" s="3" t="str">
        <f>"201511029372"</f>
        <v>201511029372</v>
      </c>
    </row>
    <row r="16678" spans="1:2" x14ac:dyDescent="0.25">
      <c r="A16678" s="4">
        <v>16673</v>
      </c>
      <c r="B16678" s="3" t="str">
        <f>"201511029406"</f>
        <v>201511029406</v>
      </c>
    </row>
    <row r="16679" spans="1:2" x14ac:dyDescent="0.25">
      <c r="A16679" s="4">
        <v>16674</v>
      </c>
      <c r="B16679" s="3" t="str">
        <f>"201511029447"</f>
        <v>201511029447</v>
      </c>
    </row>
    <row r="16680" spans="1:2" x14ac:dyDescent="0.25">
      <c r="A16680" s="4">
        <v>16675</v>
      </c>
      <c r="B16680" s="3" t="str">
        <f>"201511029452"</f>
        <v>201511029452</v>
      </c>
    </row>
    <row r="16681" spans="1:2" x14ac:dyDescent="0.25">
      <c r="A16681" s="4">
        <v>16676</v>
      </c>
      <c r="B16681" s="3" t="str">
        <f>"201511029458"</f>
        <v>201511029458</v>
      </c>
    </row>
    <row r="16682" spans="1:2" x14ac:dyDescent="0.25">
      <c r="A16682" s="4">
        <v>16677</v>
      </c>
      <c r="B16682" s="3" t="str">
        <f>"201511029462"</f>
        <v>201511029462</v>
      </c>
    </row>
    <row r="16683" spans="1:2" x14ac:dyDescent="0.25">
      <c r="A16683" s="4">
        <v>16678</v>
      </c>
      <c r="B16683" s="3" t="str">
        <f>"201511029470"</f>
        <v>201511029470</v>
      </c>
    </row>
    <row r="16684" spans="1:2" x14ac:dyDescent="0.25">
      <c r="A16684" s="4">
        <v>16679</v>
      </c>
      <c r="B16684" s="3" t="str">
        <f>"201511029483"</f>
        <v>201511029483</v>
      </c>
    </row>
    <row r="16685" spans="1:2" x14ac:dyDescent="0.25">
      <c r="A16685" s="4">
        <v>16680</v>
      </c>
      <c r="B16685" s="3" t="str">
        <f>"201511029485"</f>
        <v>201511029485</v>
      </c>
    </row>
    <row r="16686" spans="1:2" x14ac:dyDescent="0.25">
      <c r="A16686" s="4">
        <v>16681</v>
      </c>
      <c r="B16686" s="3" t="str">
        <f>"201511029500"</f>
        <v>201511029500</v>
      </c>
    </row>
    <row r="16687" spans="1:2" x14ac:dyDescent="0.25">
      <c r="A16687" s="4">
        <v>16682</v>
      </c>
      <c r="B16687" s="3" t="str">
        <f>"201511029507"</f>
        <v>201511029507</v>
      </c>
    </row>
    <row r="16688" spans="1:2" x14ac:dyDescent="0.25">
      <c r="A16688" s="4">
        <v>16683</v>
      </c>
      <c r="B16688" s="3" t="str">
        <f>"201511029509"</f>
        <v>201511029509</v>
      </c>
    </row>
    <row r="16689" spans="1:2" x14ac:dyDescent="0.25">
      <c r="A16689" s="4">
        <v>16684</v>
      </c>
      <c r="B16689" s="3" t="str">
        <f>"201511029522"</f>
        <v>201511029522</v>
      </c>
    </row>
    <row r="16690" spans="1:2" x14ac:dyDescent="0.25">
      <c r="A16690" s="4">
        <v>16685</v>
      </c>
      <c r="B16690" s="3" t="str">
        <f>"201511029530"</f>
        <v>201511029530</v>
      </c>
    </row>
    <row r="16691" spans="1:2" x14ac:dyDescent="0.25">
      <c r="A16691" s="4">
        <v>16686</v>
      </c>
      <c r="B16691" s="3" t="str">
        <f>"201511029535"</f>
        <v>201511029535</v>
      </c>
    </row>
    <row r="16692" spans="1:2" x14ac:dyDescent="0.25">
      <c r="A16692" s="4">
        <v>16687</v>
      </c>
      <c r="B16692" s="3" t="str">
        <f>"201511029553"</f>
        <v>201511029553</v>
      </c>
    </row>
    <row r="16693" spans="1:2" x14ac:dyDescent="0.25">
      <c r="A16693" s="4">
        <v>16688</v>
      </c>
      <c r="B16693" s="3" t="str">
        <f>"201511029571"</f>
        <v>201511029571</v>
      </c>
    </row>
    <row r="16694" spans="1:2" x14ac:dyDescent="0.25">
      <c r="A16694" s="4">
        <v>16689</v>
      </c>
      <c r="B16694" s="3" t="str">
        <f>"201511029586"</f>
        <v>201511029586</v>
      </c>
    </row>
    <row r="16695" spans="1:2" x14ac:dyDescent="0.25">
      <c r="A16695" s="4">
        <v>16690</v>
      </c>
      <c r="B16695" s="3" t="str">
        <f>"201511029591"</f>
        <v>201511029591</v>
      </c>
    </row>
    <row r="16696" spans="1:2" x14ac:dyDescent="0.25">
      <c r="A16696" s="4">
        <v>16691</v>
      </c>
      <c r="B16696" s="3" t="str">
        <f>"201511029595"</f>
        <v>201511029595</v>
      </c>
    </row>
    <row r="16697" spans="1:2" x14ac:dyDescent="0.25">
      <c r="A16697" s="4">
        <v>16692</v>
      </c>
      <c r="B16697" s="3" t="str">
        <f>"201511029601"</f>
        <v>201511029601</v>
      </c>
    </row>
    <row r="16698" spans="1:2" x14ac:dyDescent="0.25">
      <c r="A16698" s="4">
        <v>16693</v>
      </c>
      <c r="B16698" s="3" t="str">
        <f>"201511029602"</f>
        <v>201511029602</v>
      </c>
    </row>
    <row r="16699" spans="1:2" x14ac:dyDescent="0.25">
      <c r="A16699" s="4">
        <v>16694</v>
      </c>
      <c r="B16699" s="3" t="str">
        <f>"201511029608"</f>
        <v>201511029608</v>
      </c>
    </row>
    <row r="16700" spans="1:2" x14ac:dyDescent="0.25">
      <c r="A16700" s="4">
        <v>16695</v>
      </c>
      <c r="B16700" s="3" t="str">
        <f>"201511029613"</f>
        <v>201511029613</v>
      </c>
    </row>
    <row r="16701" spans="1:2" x14ac:dyDescent="0.25">
      <c r="A16701" s="4">
        <v>16696</v>
      </c>
      <c r="B16701" s="3" t="str">
        <f>"201511029656"</f>
        <v>201511029656</v>
      </c>
    </row>
    <row r="16702" spans="1:2" x14ac:dyDescent="0.25">
      <c r="A16702" s="4">
        <v>16697</v>
      </c>
      <c r="B16702" s="3" t="str">
        <f>"201511029676"</f>
        <v>201511029676</v>
      </c>
    </row>
    <row r="16703" spans="1:2" x14ac:dyDescent="0.25">
      <c r="A16703" s="4">
        <v>16698</v>
      </c>
      <c r="B16703" s="3" t="str">
        <f>"201511029692"</f>
        <v>201511029692</v>
      </c>
    </row>
    <row r="16704" spans="1:2" x14ac:dyDescent="0.25">
      <c r="A16704" s="4">
        <v>16699</v>
      </c>
      <c r="B16704" s="3" t="str">
        <f>"201511029705"</f>
        <v>201511029705</v>
      </c>
    </row>
    <row r="16705" spans="1:2" x14ac:dyDescent="0.25">
      <c r="A16705" s="4">
        <v>16700</v>
      </c>
      <c r="B16705" s="3" t="str">
        <f>"201511029713"</f>
        <v>201511029713</v>
      </c>
    </row>
    <row r="16706" spans="1:2" x14ac:dyDescent="0.25">
      <c r="A16706" s="4">
        <v>16701</v>
      </c>
      <c r="B16706" s="3" t="str">
        <f>"201511029726"</f>
        <v>201511029726</v>
      </c>
    </row>
    <row r="16707" spans="1:2" x14ac:dyDescent="0.25">
      <c r="A16707" s="4">
        <v>16702</v>
      </c>
      <c r="B16707" s="3" t="str">
        <f>"201511029742"</f>
        <v>201511029742</v>
      </c>
    </row>
    <row r="16708" spans="1:2" x14ac:dyDescent="0.25">
      <c r="A16708" s="4">
        <v>16703</v>
      </c>
      <c r="B16708" s="3" t="str">
        <f>"201511029771"</f>
        <v>201511029771</v>
      </c>
    </row>
    <row r="16709" spans="1:2" x14ac:dyDescent="0.25">
      <c r="A16709" s="4">
        <v>16704</v>
      </c>
      <c r="B16709" s="3" t="str">
        <f>"201511029777"</f>
        <v>201511029777</v>
      </c>
    </row>
    <row r="16710" spans="1:2" x14ac:dyDescent="0.25">
      <c r="A16710" s="4">
        <v>16705</v>
      </c>
      <c r="B16710" s="3" t="str">
        <f>"201511029783"</f>
        <v>201511029783</v>
      </c>
    </row>
    <row r="16711" spans="1:2" x14ac:dyDescent="0.25">
      <c r="A16711" s="4">
        <v>16706</v>
      </c>
      <c r="B16711" s="3" t="str">
        <f>"201511029785"</f>
        <v>201511029785</v>
      </c>
    </row>
    <row r="16712" spans="1:2" x14ac:dyDescent="0.25">
      <c r="A16712" s="4">
        <v>16707</v>
      </c>
      <c r="B16712" s="3" t="str">
        <f>"201511029787"</f>
        <v>201511029787</v>
      </c>
    </row>
    <row r="16713" spans="1:2" x14ac:dyDescent="0.25">
      <c r="A16713" s="4">
        <v>16708</v>
      </c>
      <c r="B16713" s="3" t="str">
        <f>"201511029803"</f>
        <v>201511029803</v>
      </c>
    </row>
    <row r="16714" spans="1:2" x14ac:dyDescent="0.25">
      <c r="A16714" s="4">
        <v>16709</v>
      </c>
      <c r="B16714" s="3" t="str">
        <f>"201511029831"</f>
        <v>201511029831</v>
      </c>
    </row>
    <row r="16715" spans="1:2" x14ac:dyDescent="0.25">
      <c r="A16715" s="4">
        <v>16710</v>
      </c>
      <c r="B16715" s="3" t="str">
        <f>"201511029843"</f>
        <v>201511029843</v>
      </c>
    </row>
    <row r="16716" spans="1:2" x14ac:dyDescent="0.25">
      <c r="A16716" s="4">
        <v>16711</v>
      </c>
      <c r="B16716" s="3" t="str">
        <f>"201511029854"</f>
        <v>201511029854</v>
      </c>
    </row>
    <row r="16717" spans="1:2" x14ac:dyDescent="0.25">
      <c r="A16717" s="4">
        <v>16712</v>
      </c>
      <c r="B16717" s="3" t="str">
        <f>"201511029869"</f>
        <v>201511029869</v>
      </c>
    </row>
    <row r="16718" spans="1:2" x14ac:dyDescent="0.25">
      <c r="A16718" s="4">
        <v>16713</v>
      </c>
      <c r="B16718" s="3" t="str">
        <f>"201511029873"</f>
        <v>201511029873</v>
      </c>
    </row>
    <row r="16719" spans="1:2" x14ac:dyDescent="0.25">
      <c r="A16719" s="4">
        <v>16714</v>
      </c>
      <c r="B16719" s="3" t="str">
        <f>"201511029879"</f>
        <v>201511029879</v>
      </c>
    </row>
    <row r="16720" spans="1:2" x14ac:dyDescent="0.25">
      <c r="A16720" s="4">
        <v>16715</v>
      </c>
      <c r="B16720" s="3" t="str">
        <f>"201511029880"</f>
        <v>201511029880</v>
      </c>
    </row>
    <row r="16721" spans="1:2" x14ac:dyDescent="0.25">
      <c r="A16721" s="4">
        <v>16716</v>
      </c>
      <c r="B16721" s="3" t="str">
        <f>"201511029892"</f>
        <v>201511029892</v>
      </c>
    </row>
    <row r="16722" spans="1:2" x14ac:dyDescent="0.25">
      <c r="A16722" s="4">
        <v>16717</v>
      </c>
      <c r="B16722" s="3" t="str">
        <f>"201511029898"</f>
        <v>201511029898</v>
      </c>
    </row>
    <row r="16723" spans="1:2" x14ac:dyDescent="0.25">
      <c r="A16723" s="4">
        <v>16718</v>
      </c>
      <c r="B16723" s="3" t="str">
        <f>"201511029903"</f>
        <v>201511029903</v>
      </c>
    </row>
    <row r="16724" spans="1:2" x14ac:dyDescent="0.25">
      <c r="A16724" s="4">
        <v>16719</v>
      </c>
      <c r="B16724" s="3" t="str">
        <f>"201511029913"</f>
        <v>201511029913</v>
      </c>
    </row>
    <row r="16725" spans="1:2" x14ac:dyDescent="0.25">
      <c r="A16725" s="4">
        <v>16720</v>
      </c>
      <c r="B16725" s="3" t="str">
        <f>"201511029925"</f>
        <v>201511029925</v>
      </c>
    </row>
    <row r="16726" spans="1:2" x14ac:dyDescent="0.25">
      <c r="A16726" s="4">
        <v>16721</v>
      </c>
      <c r="B16726" s="3" t="str">
        <f>"201511029938"</f>
        <v>201511029938</v>
      </c>
    </row>
    <row r="16727" spans="1:2" x14ac:dyDescent="0.25">
      <c r="A16727" s="4">
        <v>16722</v>
      </c>
      <c r="B16727" s="3" t="str">
        <f>"201511029940"</f>
        <v>201511029940</v>
      </c>
    </row>
    <row r="16728" spans="1:2" x14ac:dyDescent="0.25">
      <c r="A16728" s="4">
        <v>16723</v>
      </c>
      <c r="B16728" s="3" t="str">
        <f>"201511029946"</f>
        <v>201511029946</v>
      </c>
    </row>
    <row r="16729" spans="1:2" x14ac:dyDescent="0.25">
      <c r="A16729" s="4">
        <v>16724</v>
      </c>
      <c r="B16729" s="3" t="str">
        <f>"201511029956"</f>
        <v>201511029956</v>
      </c>
    </row>
    <row r="16730" spans="1:2" x14ac:dyDescent="0.25">
      <c r="A16730" s="4">
        <v>16725</v>
      </c>
      <c r="B16730" s="3" t="str">
        <f>"201511029958"</f>
        <v>201511029958</v>
      </c>
    </row>
    <row r="16731" spans="1:2" x14ac:dyDescent="0.25">
      <c r="A16731" s="4">
        <v>16726</v>
      </c>
      <c r="B16731" s="3" t="str">
        <f>"201511029985"</f>
        <v>201511029985</v>
      </c>
    </row>
    <row r="16732" spans="1:2" x14ac:dyDescent="0.25">
      <c r="A16732" s="4">
        <v>16727</v>
      </c>
      <c r="B16732" s="3" t="str">
        <f>"201511030018"</f>
        <v>201511030018</v>
      </c>
    </row>
    <row r="16733" spans="1:2" x14ac:dyDescent="0.25">
      <c r="A16733" s="4">
        <v>16728</v>
      </c>
      <c r="B16733" s="3" t="str">
        <f>"201511030022"</f>
        <v>201511030022</v>
      </c>
    </row>
    <row r="16734" spans="1:2" x14ac:dyDescent="0.25">
      <c r="A16734" s="4">
        <v>16729</v>
      </c>
      <c r="B16734" s="3" t="str">
        <f>"201511030031"</f>
        <v>201511030031</v>
      </c>
    </row>
    <row r="16735" spans="1:2" x14ac:dyDescent="0.25">
      <c r="A16735" s="4">
        <v>16730</v>
      </c>
      <c r="B16735" s="3" t="str">
        <f>"201511030045"</f>
        <v>201511030045</v>
      </c>
    </row>
    <row r="16736" spans="1:2" x14ac:dyDescent="0.25">
      <c r="A16736" s="4">
        <v>16731</v>
      </c>
      <c r="B16736" s="3" t="str">
        <f>"201511030057"</f>
        <v>201511030057</v>
      </c>
    </row>
    <row r="16737" spans="1:2" x14ac:dyDescent="0.25">
      <c r="A16737" s="4">
        <v>16732</v>
      </c>
      <c r="B16737" s="3" t="str">
        <f>"201511030059"</f>
        <v>201511030059</v>
      </c>
    </row>
    <row r="16738" spans="1:2" x14ac:dyDescent="0.25">
      <c r="A16738" s="4">
        <v>16733</v>
      </c>
      <c r="B16738" s="3" t="str">
        <f>"201511030072"</f>
        <v>201511030072</v>
      </c>
    </row>
    <row r="16739" spans="1:2" x14ac:dyDescent="0.25">
      <c r="A16739" s="4">
        <v>16734</v>
      </c>
      <c r="B16739" s="3" t="str">
        <f>"201511030074"</f>
        <v>201511030074</v>
      </c>
    </row>
    <row r="16740" spans="1:2" x14ac:dyDescent="0.25">
      <c r="A16740" s="4">
        <v>16735</v>
      </c>
      <c r="B16740" s="3" t="str">
        <f>"201511030081"</f>
        <v>201511030081</v>
      </c>
    </row>
    <row r="16741" spans="1:2" x14ac:dyDescent="0.25">
      <c r="A16741" s="4">
        <v>16736</v>
      </c>
      <c r="B16741" s="3" t="str">
        <f>"201511030089"</f>
        <v>201511030089</v>
      </c>
    </row>
    <row r="16742" spans="1:2" x14ac:dyDescent="0.25">
      <c r="A16742" s="4">
        <v>16737</v>
      </c>
      <c r="B16742" s="3" t="str">
        <f>"201511030136"</f>
        <v>201511030136</v>
      </c>
    </row>
    <row r="16743" spans="1:2" x14ac:dyDescent="0.25">
      <c r="A16743" s="4">
        <v>16738</v>
      </c>
      <c r="B16743" s="3" t="str">
        <f>"201511030141"</f>
        <v>201511030141</v>
      </c>
    </row>
    <row r="16744" spans="1:2" x14ac:dyDescent="0.25">
      <c r="A16744" s="4">
        <v>16739</v>
      </c>
      <c r="B16744" s="3" t="str">
        <f>"201511030198"</f>
        <v>201511030198</v>
      </c>
    </row>
    <row r="16745" spans="1:2" x14ac:dyDescent="0.25">
      <c r="A16745" s="4">
        <v>16740</v>
      </c>
      <c r="B16745" s="3" t="str">
        <f>"201511030202"</f>
        <v>201511030202</v>
      </c>
    </row>
    <row r="16746" spans="1:2" x14ac:dyDescent="0.25">
      <c r="A16746" s="4">
        <v>16741</v>
      </c>
      <c r="B16746" s="3" t="str">
        <f>"201511030203"</f>
        <v>201511030203</v>
      </c>
    </row>
    <row r="16747" spans="1:2" x14ac:dyDescent="0.25">
      <c r="A16747" s="4">
        <v>16742</v>
      </c>
      <c r="B16747" s="3" t="str">
        <f>"201511030227"</f>
        <v>201511030227</v>
      </c>
    </row>
    <row r="16748" spans="1:2" x14ac:dyDescent="0.25">
      <c r="A16748" s="4">
        <v>16743</v>
      </c>
      <c r="B16748" s="3" t="str">
        <f>"201511030230"</f>
        <v>201511030230</v>
      </c>
    </row>
    <row r="16749" spans="1:2" x14ac:dyDescent="0.25">
      <c r="A16749" s="4">
        <v>16744</v>
      </c>
      <c r="B16749" s="3" t="str">
        <f>"201511030241"</f>
        <v>201511030241</v>
      </c>
    </row>
    <row r="16750" spans="1:2" x14ac:dyDescent="0.25">
      <c r="A16750" s="4">
        <v>16745</v>
      </c>
      <c r="B16750" s="3" t="str">
        <f>"201511030270"</f>
        <v>201511030270</v>
      </c>
    </row>
    <row r="16751" spans="1:2" x14ac:dyDescent="0.25">
      <c r="A16751" s="4">
        <v>16746</v>
      </c>
      <c r="B16751" s="3" t="str">
        <f>"201511030274"</f>
        <v>201511030274</v>
      </c>
    </row>
    <row r="16752" spans="1:2" x14ac:dyDescent="0.25">
      <c r="A16752" s="4">
        <v>16747</v>
      </c>
      <c r="B16752" s="3" t="str">
        <f>"201511030276"</f>
        <v>201511030276</v>
      </c>
    </row>
    <row r="16753" spans="1:2" x14ac:dyDescent="0.25">
      <c r="A16753" s="4">
        <v>16748</v>
      </c>
      <c r="B16753" s="3" t="str">
        <f>"201511030286"</f>
        <v>201511030286</v>
      </c>
    </row>
    <row r="16754" spans="1:2" x14ac:dyDescent="0.25">
      <c r="A16754" s="4">
        <v>16749</v>
      </c>
      <c r="B16754" s="3" t="str">
        <f>"201511030308"</f>
        <v>201511030308</v>
      </c>
    </row>
    <row r="16755" spans="1:2" x14ac:dyDescent="0.25">
      <c r="A16755" s="4">
        <v>16750</v>
      </c>
      <c r="B16755" s="3" t="str">
        <f>"201511030320"</f>
        <v>201511030320</v>
      </c>
    </row>
    <row r="16756" spans="1:2" x14ac:dyDescent="0.25">
      <c r="A16756" s="4">
        <v>16751</v>
      </c>
      <c r="B16756" s="3" t="str">
        <f>"201511030335"</f>
        <v>201511030335</v>
      </c>
    </row>
    <row r="16757" spans="1:2" x14ac:dyDescent="0.25">
      <c r="A16757" s="4">
        <v>16752</v>
      </c>
      <c r="B16757" s="3" t="str">
        <f>"201511030342"</f>
        <v>201511030342</v>
      </c>
    </row>
    <row r="16758" spans="1:2" x14ac:dyDescent="0.25">
      <c r="A16758" s="4">
        <v>16753</v>
      </c>
      <c r="B16758" s="3" t="str">
        <f>"201511030378"</f>
        <v>201511030378</v>
      </c>
    </row>
    <row r="16759" spans="1:2" x14ac:dyDescent="0.25">
      <c r="A16759" s="4">
        <v>16754</v>
      </c>
      <c r="B16759" s="3" t="str">
        <f>"201511030402"</f>
        <v>201511030402</v>
      </c>
    </row>
    <row r="16760" spans="1:2" x14ac:dyDescent="0.25">
      <c r="A16760" s="4">
        <v>16755</v>
      </c>
      <c r="B16760" s="3" t="str">
        <f>"201511030415"</f>
        <v>201511030415</v>
      </c>
    </row>
    <row r="16761" spans="1:2" x14ac:dyDescent="0.25">
      <c r="A16761" s="4">
        <v>16756</v>
      </c>
      <c r="B16761" s="3" t="str">
        <f>"201511030448"</f>
        <v>201511030448</v>
      </c>
    </row>
    <row r="16762" spans="1:2" x14ac:dyDescent="0.25">
      <c r="A16762" s="4">
        <v>16757</v>
      </c>
      <c r="B16762" s="3" t="str">
        <f>"201511030457"</f>
        <v>201511030457</v>
      </c>
    </row>
    <row r="16763" spans="1:2" x14ac:dyDescent="0.25">
      <c r="A16763" s="4">
        <v>16758</v>
      </c>
      <c r="B16763" s="3" t="str">
        <f>"201511030463"</f>
        <v>201511030463</v>
      </c>
    </row>
    <row r="16764" spans="1:2" x14ac:dyDescent="0.25">
      <c r="A16764" s="4">
        <v>16759</v>
      </c>
      <c r="B16764" s="3" t="str">
        <f>"201511030477"</f>
        <v>201511030477</v>
      </c>
    </row>
    <row r="16765" spans="1:2" x14ac:dyDescent="0.25">
      <c r="A16765" s="4">
        <v>16760</v>
      </c>
      <c r="B16765" s="3" t="str">
        <f>"201511030491"</f>
        <v>201511030491</v>
      </c>
    </row>
    <row r="16766" spans="1:2" x14ac:dyDescent="0.25">
      <c r="A16766" s="4">
        <v>16761</v>
      </c>
      <c r="B16766" s="3" t="str">
        <f>"201511030506"</f>
        <v>201511030506</v>
      </c>
    </row>
    <row r="16767" spans="1:2" x14ac:dyDescent="0.25">
      <c r="A16767" s="4">
        <v>16762</v>
      </c>
      <c r="B16767" s="3" t="str">
        <f>"201511030512"</f>
        <v>201511030512</v>
      </c>
    </row>
    <row r="16768" spans="1:2" x14ac:dyDescent="0.25">
      <c r="A16768" s="4">
        <v>16763</v>
      </c>
      <c r="B16768" s="3" t="str">
        <f>"201511030565"</f>
        <v>201511030565</v>
      </c>
    </row>
    <row r="16769" spans="1:2" x14ac:dyDescent="0.25">
      <c r="A16769" s="4">
        <v>16764</v>
      </c>
      <c r="B16769" s="3" t="str">
        <f>"201511030591"</f>
        <v>201511030591</v>
      </c>
    </row>
    <row r="16770" spans="1:2" x14ac:dyDescent="0.25">
      <c r="A16770" s="4">
        <v>16765</v>
      </c>
      <c r="B16770" s="3" t="str">
        <f>"201511030592"</f>
        <v>201511030592</v>
      </c>
    </row>
    <row r="16771" spans="1:2" x14ac:dyDescent="0.25">
      <c r="A16771" s="4">
        <v>16766</v>
      </c>
      <c r="B16771" s="3" t="str">
        <f>"201511030602"</f>
        <v>201511030602</v>
      </c>
    </row>
    <row r="16772" spans="1:2" x14ac:dyDescent="0.25">
      <c r="A16772" s="4">
        <v>16767</v>
      </c>
      <c r="B16772" s="3" t="str">
        <f>"201511030605"</f>
        <v>201511030605</v>
      </c>
    </row>
    <row r="16773" spans="1:2" x14ac:dyDescent="0.25">
      <c r="A16773" s="4">
        <v>16768</v>
      </c>
      <c r="B16773" s="3" t="str">
        <f>"201511030606"</f>
        <v>201511030606</v>
      </c>
    </row>
    <row r="16774" spans="1:2" x14ac:dyDescent="0.25">
      <c r="A16774" s="4">
        <v>16769</v>
      </c>
      <c r="B16774" s="3" t="str">
        <f>"201511030609"</f>
        <v>201511030609</v>
      </c>
    </row>
    <row r="16775" spans="1:2" x14ac:dyDescent="0.25">
      <c r="A16775" s="4">
        <v>16770</v>
      </c>
      <c r="B16775" s="3" t="str">
        <f>"201511030612"</f>
        <v>201511030612</v>
      </c>
    </row>
    <row r="16776" spans="1:2" x14ac:dyDescent="0.25">
      <c r="A16776" s="4">
        <v>16771</v>
      </c>
      <c r="B16776" s="3" t="str">
        <f>"201511030616"</f>
        <v>201511030616</v>
      </c>
    </row>
    <row r="16777" spans="1:2" x14ac:dyDescent="0.25">
      <c r="A16777" s="4">
        <v>16772</v>
      </c>
      <c r="B16777" s="3" t="str">
        <f>"201511030624"</f>
        <v>201511030624</v>
      </c>
    </row>
    <row r="16778" spans="1:2" x14ac:dyDescent="0.25">
      <c r="A16778" s="4">
        <v>16773</v>
      </c>
      <c r="B16778" s="3" t="str">
        <f>"201511030631"</f>
        <v>201511030631</v>
      </c>
    </row>
    <row r="16779" spans="1:2" x14ac:dyDescent="0.25">
      <c r="A16779" s="4">
        <v>16774</v>
      </c>
      <c r="B16779" s="3" t="str">
        <f>"201511030643"</f>
        <v>201511030643</v>
      </c>
    </row>
    <row r="16780" spans="1:2" x14ac:dyDescent="0.25">
      <c r="A16780" s="4">
        <v>16775</v>
      </c>
      <c r="B16780" s="3" t="str">
        <f>"201511030668"</f>
        <v>201511030668</v>
      </c>
    </row>
    <row r="16781" spans="1:2" x14ac:dyDescent="0.25">
      <c r="A16781" s="4">
        <v>16776</v>
      </c>
      <c r="B16781" s="3" t="str">
        <f>"201511030672"</f>
        <v>201511030672</v>
      </c>
    </row>
    <row r="16782" spans="1:2" x14ac:dyDescent="0.25">
      <c r="A16782" s="4">
        <v>16777</v>
      </c>
      <c r="B16782" s="3" t="str">
        <f>"201511030680"</f>
        <v>201511030680</v>
      </c>
    </row>
    <row r="16783" spans="1:2" x14ac:dyDescent="0.25">
      <c r="A16783" s="4">
        <v>16778</v>
      </c>
      <c r="B16783" s="3" t="str">
        <f>"201511030686"</f>
        <v>201511030686</v>
      </c>
    </row>
    <row r="16784" spans="1:2" x14ac:dyDescent="0.25">
      <c r="A16784" s="4">
        <v>16779</v>
      </c>
      <c r="B16784" s="3" t="str">
        <f>"201511030696"</f>
        <v>201511030696</v>
      </c>
    </row>
    <row r="16785" spans="1:2" x14ac:dyDescent="0.25">
      <c r="A16785" s="4">
        <v>16780</v>
      </c>
      <c r="B16785" s="3" t="str">
        <f>"201511030702"</f>
        <v>201511030702</v>
      </c>
    </row>
    <row r="16786" spans="1:2" x14ac:dyDescent="0.25">
      <c r="A16786" s="4">
        <v>16781</v>
      </c>
      <c r="B16786" s="3" t="str">
        <f>"201511030706"</f>
        <v>201511030706</v>
      </c>
    </row>
    <row r="16787" spans="1:2" x14ac:dyDescent="0.25">
      <c r="A16787" s="4">
        <v>16782</v>
      </c>
      <c r="B16787" s="3" t="str">
        <f>"201511030707"</f>
        <v>201511030707</v>
      </c>
    </row>
    <row r="16788" spans="1:2" x14ac:dyDescent="0.25">
      <c r="A16788" s="4">
        <v>16783</v>
      </c>
      <c r="B16788" s="3" t="str">
        <f>"201511030717"</f>
        <v>201511030717</v>
      </c>
    </row>
    <row r="16789" spans="1:2" x14ac:dyDescent="0.25">
      <c r="A16789" s="4">
        <v>16784</v>
      </c>
      <c r="B16789" s="3" t="str">
        <f>"201511030727"</f>
        <v>201511030727</v>
      </c>
    </row>
    <row r="16790" spans="1:2" x14ac:dyDescent="0.25">
      <c r="A16790" s="4">
        <v>16785</v>
      </c>
      <c r="B16790" s="3" t="str">
        <f>"201511030728"</f>
        <v>201511030728</v>
      </c>
    </row>
    <row r="16791" spans="1:2" x14ac:dyDescent="0.25">
      <c r="A16791" s="4">
        <v>16786</v>
      </c>
      <c r="B16791" s="3" t="str">
        <f>"201511030798"</f>
        <v>201511030798</v>
      </c>
    </row>
    <row r="16792" spans="1:2" x14ac:dyDescent="0.25">
      <c r="A16792" s="4">
        <v>16787</v>
      </c>
      <c r="B16792" s="3" t="str">
        <f>"201511030804"</f>
        <v>201511030804</v>
      </c>
    </row>
    <row r="16793" spans="1:2" x14ac:dyDescent="0.25">
      <c r="A16793" s="4">
        <v>16788</v>
      </c>
      <c r="B16793" s="3" t="str">
        <f>"201511030806"</f>
        <v>201511030806</v>
      </c>
    </row>
    <row r="16794" spans="1:2" x14ac:dyDescent="0.25">
      <c r="A16794" s="4">
        <v>16789</v>
      </c>
      <c r="B16794" s="3" t="str">
        <f>"201511030832"</f>
        <v>201511030832</v>
      </c>
    </row>
    <row r="16795" spans="1:2" x14ac:dyDescent="0.25">
      <c r="A16795" s="4">
        <v>16790</v>
      </c>
      <c r="B16795" s="3" t="str">
        <f>"201511030849"</f>
        <v>201511030849</v>
      </c>
    </row>
    <row r="16796" spans="1:2" x14ac:dyDescent="0.25">
      <c r="A16796" s="4">
        <v>16791</v>
      </c>
      <c r="B16796" s="3" t="str">
        <f>"201511030863"</f>
        <v>201511030863</v>
      </c>
    </row>
    <row r="16797" spans="1:2" x14ac:dyDescent="0.25">
      <c r="A16797" s="4">
        <v>16792</v>
      </c>
      <c r="B16797" s="3" t="str">
        <f>"201511030864"</f>
        <v>201511030864</v>
      </c>
    </row>
    <row r="16798" spans="1:2" x14ac:dyDescent="0.25">
      <c r="A16798" s="4">
        <v>16793</v>
      </c>
      <c r="B16798" s="3" t="str">
        <f>"201511030897"</f>
        <v>201511030897</v>
      </c>
    </row>
    <row r="16799" spans="1:2" x14ac:dyDescent="0.25">
      <c r="A16799" s="4">
        <v>16794</v>
      </c>
      <c r="B16799" s="3" t="str">
        <f>"201511030912"</f>
        <v>201511030912</v>
      </c>
    </row>
    <row r="16800" spans="1:2" x14ac:dyDescent="0.25">
      <c r="A16800" s="4">
        <v>16795</v>
      </c>
      <c r="B16800" s="3" t="str">
        <f>"201511030913"</f>
        <v>201511030913</v>
      </c>
    </row>
    <row r="16801" spans="1:2" x14ac:dyDescent="0.25">
      <c r="A16801" s="4">
        <v>16796</v>
      </c>
      <c r="B16801" s="3" t="str">
        <f>"201511030921"</f>
        <v>201511030921</v>
      </c>
    </row>
    <row r="16802" spans="1:2" x14ac:dyDescent="0.25">
      <c r="A16802" s="4">
        <v>16797</v>
      </c>
      <c r="B16802" s="3" t="str">
        <f>"201511030923"</f>
        <v>201511030923</v>
      </c>
    </row>
    <row r="16803" spans="1:2" x14ac:dyDescent="0.25">
      <c r="A16803" s="4">
        <v>16798</v>
      </c>
      <c r="B16803" s="3" t="str">
        <f>"201511030942"</f>
        <v>201511030942</v>
      </c>
    </row>
    <row r="16804" spans="1:2" x14ac:dyDescent="0.25">
      <c r="A16804" s="4">
        <v>16799</v>
      </c>
      <c r="B16804" s="3" t="str">
        <f>"201511030943"</f>
        <v>201511030943</v>
      </c>
    </row>
    <row r="16805" spans="1:2" x14ac:dyDescent="0.25">
      <c r="A16805" s="4">
        <v>16800</v>
      </c>
      <c r="B16805" s="3" t="str">
        <f>"201511030950"</f>
        <v>201511030950</v>
      </c>
    </row>
    <row r="16806" spans="1:2" x14ac:dyDescent="0.25">
      <c r="A16806" s="4">
        <v>16801</v>
      </c>
      <c r="B16806" s="3" t="str">
        <f>"201511030957"</f>
        <v>201511030957</v>
      </c>
    </row>
    <row r="16807" spans="1:2" x14ac:dyDescent="0.25">
      <c r="A16807" s="4">
        <v>16802</v>
      </c>
      <c r="B16807" s="3" t="str">
        <f>"201511030964"</f>
        <v>201511030964</v>
      </c>
    </row>
    <row r="16808" spans="1:2" x14ac:dyDescent="0.25">
      <c r="A16808" s="4">
        <v>16803</v>
      </c>
      <c r="B16808" s="3" t="str">
        <f>"201511030971"</f>
        <v>201511030971</v>
      </c>
    </row>
    <row r="16809" spans="1:2" x14ac:dyDescent="0.25">
      <c r="A16809" s="4">
        <v>16804</v>
      </c>
      <c r="B16809" s="3" t="str">
        <f>"201511030976"</f>
        <v>201511030976</v>
      </c>
    </row>
    <row r="16810" spans="1:2" x14ac:dyDescent="0.25">
      <c r="A16810" s="4">
        <v>16805</v>
      </c>
      <c r="B16810" s="3" t="str">
        <f>"201511030981"</f>
        <v>201511030981</v>
      </c>
    </row>
    <row r="16811" spans="1:2" x14ac:dyDescent="0.25">
      <c r="A16811" s="4">
        <v>16806</v>
      </c>
      <c r="B16811" s="3" t="str">
        <f>"201511030995"</f>
        <v>201511030995</v>
      </c>
    </row>
    <row r="16812" spans="1:2" x14ac:dyDescent="0.25">
      <c r="A16812" s="4">
        <v>16807</v>
      </c>
      <c r="B16812" s="3" t="str">
        <f>"201511030996"</f>
        <v>201511030996</v>
      </c>
    </row>
    <row r="16813" spans="1:2" x14ac:dyDescent="0.25">
      <c r="A16813" s="4">
        <v>16808</v>
      </c>
      <c r="B16813" s="3" t="str">
        <f>"201511031029"</f>
        <v>201511031029</v>
      </c>
    </row>
    <row r="16814" spans="1:2" x14ac:dyDescent="0.25">
      <c r="A16814" s="4">
        <v>16809</v>
      </c>
      <c r="B16814" s="3" t="str">
        <f>"201511031038"</f>
        <v>201511031038</v>
      </c>
    </row>
    <row r="16815" spans="1:2" x14ac:dyDescent="0.25">
      <c r="A16815" s="4">
        <v>16810</v>
      </c>
      <c r="B16815" s="3" t="str">
        <f>"201511031045"</f>
        <v>201511031045</v>
      </c>
    </row>
    <row r="16816" spans="1:2" x14ac:dyDescent="0.25">
      <c r="A16816" s="4">
        <v>16811</v>
      </c>
      <c r="B16816" s="3" t="str">
        <f>"201511031074"</f>
        <v>201511031074</v>
      </c>
    </row>
    <row r="16817" spans="1:2" x14ac:dyDescent="0.25">
      <c r="A16817" s="4">
        <v>16812</v>
      </c>
      <c r="B16817" s="3" t="str">
        <f>"201511031088"</f>
        <v>201511031088</v>
      </c>
    </row>
    <row r="16818" spans="1:2" x14ac:dyDescent="0.25">
      <c r="A16818" s="4">
        <v>16813</v>
      </c>
      <c r="B16818" s="3" t="str">
        <f>"201511031098"</f>
        <v>201511031098</v>
      </c>
    </row>
    <row r="16819" spans="1:2" x14ac:dyDescent="0.25">
      <c r="A16819" s="4">
        <v>16814</v>
      </c>
      <c r="B16819" s="3" t="str">
        <f>"201511031104"</f>
        <v>201511031104</v>
      </c>
    </row>
    <row r="16820" spans="1:2" x14ac:dyDescent="0.25">
      <c r="A16820" s="4">
        <v>16815</v>
      </c>
      <c r="B16820" s="3" t="str">
        <f>"201511031114"</f>
        <v>201511031114</v>
      </c>
    </row>
    <row r="16821" spans="1:2" x14ac:dyDescent="0.25">
      <c r="A16821" s="4">
        <v>16816</v>
      </c>
      <c r="B16821" s="3" t="str">
        <f>"201511031125"</f>
        <v>201511031125</v>
      </c>
    </row>
    <row r="16822" spans="1:2" x14ac:dyDescent="0.25">
      <c r="A16822" s="4">
        <v>16817</v>
      </c>
      <c r="B16822" s="3" t="str">
        <f>"201511031197"</f>
        <v>201511031197</v>
      </c>
    </row>
    <row r="16823" spans="1:2" x14ac:dyDescent="0.25">
      <c r="A16823" s="4">
        <v>16818</v>
      </c>
      <c r="B16823" s="3" t="str">
        <f>"201511031215"</f>
        <v>201511031215</v>
      </c>
    </row>
    <row r="16824" spans="1:2" x14ac:dyDescent="0.25">
      <c r="A16824" s="4">
        <v>16819</v>
      </c>
      <c r="B16824" s="3" t="str">
        <f>"201511031244"</f>
        <v>201511031244</v>
      </c>
    </row>
    <row r="16825" spans="1:2" x14ac:dyDescent="0.25">
      <c r="A16825" s="4">
        <v>16820</v>
      </c>
      <c r="B16825" s="3" t="str">
        <f>"201511031245"</f>
        <v>201511031245</v>
      </c>
    </row>
    <row r="16826" spans="1:2" x14ac:dyDescent="0.25">
      <c r="A16826" s="4">
        <v>16821</v>
      </c>
      <c r="B16826" s="3" t="str">
        <f>"201511031288"</f>
        <v>201511031288</v>
      </c>
    </row>
    <row r="16827" spans="1:2" x14ac:dyDescent="0.25">
      <c r="A16827" s="4">
        <v>16822</v>
      </c>
      <c r="B16827" s="3" t="str">
        <f>"201511031295"</f>
        <v>201511031295</v>
      </c>
    </row>
    <row r="16828" spans="1:2" x14ac:dyDescent="0.25">
      <c r="A16828" s="4">
        <v>16823</v>
      </c>
      <c r="B16828" s="3" t="str">
        <f>"201511031304"</f>
        <v>201511031304</v>
      </c>
    </row>
    <row r="16829" spans="1:2" x14ac:dyDescent="0.25">
      <c r="A16829" s="4">
        <v>16824</v>
      </c>
      <c r="B16829" s="3" t="str">
        <f>"201511031305"</f>
        <v>201511031305</v>
      </c>
    </row>
    <row r="16830" spans="1:2" x14ac:dyDescent="0.25">
      <c r="A16830" s="4">
        <v>16825</v>
      </c>
      <c r="B16830" s="3" t="str">
        <f>"201511031310"</f>
        <v>201511031310</v>
      </c>
    </row>
    <row r="16831" spans="1:2" x14ac:dyDescent="0.25">
      <c r="A16831" s="4">
        <v>16826</v>
      </c>
      <c r="B16831" s="3" t="str">
        <f>"201511031319"</f>
        <v>201511031319</v>
      </c>
    </row>
    <row r="16832" spans="1:2" x14ac:dyDescent="0.25">
      <c r="A16832" s="4">
        <v>16827</v>
      </c>
      <c r="B16832" s="3" t="str">
        <f>"201511031336"</f>
        <v>201511031336</v>
      </c>
    </row>
    <row r="16833" spans="1:2" x14ac:dyDescent="0.25">
      <c r="A16833" s="4">
        <v>16828</v>
      </c>
      <c r="B16833" s="3" t="str">
        <f>"201511031339"</f>
        <v>201511031339</v>
      </c>
    </row>
    <row r="16834" spans="1:2" x14ac:dyDescent="0.25">
      <c r="A16834" s="4">
        <v>16829</v>
      </c>
      <c r="B16834" s="3" t="str">
        <f>"201511031358"</f>
        <v>201511031358</v>
      </c>
    </row>
    <row r="16835" spans="1:2" x14ac:dyDescent="0.25">
      <c r="A16835" s="4">
        <v>16830</v>
      </c>
      <c r="B16835" s="3" t="str">
        <f>"201511031363"</f>
        <v>201511031363</v>
      </c>
    </row>
    <row r="16836" spans="1:2" x14ac:dyDescent="0.25">
      <c r="A16836" s="4">
        <v>16831</v>
      </c>
      <c r="B16836" s="3" t="str">
        <f>"201511031402"</f>
        <v>201511031402</v>
      </c>
    </row>
    <row r="16837" spans="1:2" x14ac:dyDescent="0.25">
      <c r="A16837" s="4">
        <v>16832</v>
      </c>
      <c r="B16837" s="3" t="str">
        <f>"201511031403"</f>
        <v>201511031403</v>
      </c>
    </row>
    <row r="16838" spans="1:2" x14ac:dyDescent="0.25">
      <c r="A16838" s="4">
        <v>16833</v>
      </c>
      <c r="B16838" s="3" t="str">
        <f>"201511031407"</f>
        <v>201511031407</v>
      </c>
    </row>
    <row r="16839" spans="1:2" x14ac:dyDescent="0.25">
      <c r="A16839" s="4">
        <v>16834</v>
      </c>
      <c r="B16839" s="3" t="str">
        <f>"201511031419"</f>
        <v>201511031419</v>
      </c>
    </row>
    <row r="16840" spans="1:2" x14ac:dyDescent="0.25">
      <c r="A16840" s="4">
        <v>16835</v>
      </c>
      <c r="B16840" s="3" t="str">
        <f>"201511031424"</f>
        <v>201511031424</v>
      </c>
    </row>
    <row r="16841" spans="1:2" x14ac:dyDescent="0.25">
      <c r="A16841" s="4">
        <v>16836</v>
      </c>
      <c r="B16841" s="3" t="str">
        <f>"201511031428"</f>
        <v>201511031428</v>
      </c>
    </row>
    <row r="16842" spans="1:2" x14ac:dyDescent="0.25">
      <c r="A16842" s="4">
        <v>16837</v>
      </c>
      <c r="B16842" s="3" t="str">
        <f>"201511031431"</f>
        <v>201511031431</v>
      </c>
    </row>
    <row r="16843" spans="1:2" x14ac:dyDescent="0.25">
      <c r="A16843" s="4">
        <v>16838</v>
      </c>
      <c r="B16843" s="3" t="str">
        <f>"201511031432"</f>
        <v>201511031432</v>
      </c>
    </row>
    <row r="16844" spans="1:2" x14ac:dyDescent="0.25">
      <c r="A16844" s="4">
        <v>16839</v>
      </c>
      <c r="B16844" s="3" t="str">
        <f>"201511031433"</f>
        <v>201511031433</v>
      </c>
    </row>
    <row r="16845" spans="1:2" x14ac:dyDescent="0.25">
      <c r="A16845" s="4">
        <v>16840</v>
      </c>
      <c r="B16845" s="3" t="str">
        <f>"201511031448"</f>
        <v>201511031448</v>
      </c>
    </row>
    <row r="16846" spans="1:2" x14ac:dyDescent="0.25">
      <c r="A16846" s="4">
        <v>16841</v>
      </c>
      <c r="B16846" s="3" t="str">
        <f>"201511031460"</f>
        <v>201511031460</v>
      </c>
    </row>
    <row r="16847" spans="1:2" x14ac:dyDescent="0.25">
      <c r="A16847" s="4">
        <v>16842</v>
      </c>
      <c r="B16847" s="3" t="str">
        <f>"201511031480"</f>
        <v>201511031480</v>
      </c>
    </row>
    <row r="16848" spans="1:2" x14ac:dyDescent="0.25">
      <c r="A16848" s="4">
        <v>16843</v>
      </c>
      <c r="B16848" s="3" t="str">
        <f>"201511031483"</f>
        <v>201511031483</v>
      </c>
    </row>
    <row r="16849" spans="1:2" x14ac:dyDescent="0.25">
      <c r="A16849" s="4">
        <v>16844</v>
      </c>
      <c r="B16849" s="3" t="str">
        <f>"201511031484"</f>
        <v>201511031484</v>
      </c>
    </row>
    <row r="16850" spans="1:2" x14ac:dyDescent="0.25">
      <c r="A16850" s="4">
        <v>16845</v>
      </c>
      <c r="B16850" s="3" t="str">
        <f>"201511031506"</f>
        <v>201511031506</v>
      </c>
    </row>
    <row r="16851" spans="1:2" x14ac:dyDescent="0.25">
      <c r="A16851" s="4">
        <v>16846</v>
      </c>
      <c r="B16851" s="3" t="str">
        <f>"201511031510"</f>
        <v>201511031510</v>
      </c>
    </row>
    <row r="16852" spans="1:2" x14ac:dyDescent="0.25">
      <c r="A16852" s="4">
        <v>16847</v>
      </c>
      <c r="B16852" s="3" t="str">
        <f>"201511031535"</f>
        <v>201511031535</v>
      </c>
    </row>
    <row r="16853" spans="1:2" x14ac:dyDescent="0.25">
      <c r="A16853" s="4">
        <v>16848</v>
      </c>
      <c r="B16853" s="3" t="str">
        <f>"201511031537"</f>
        <v>201511031537</v>
      </c>
    </row>
    <row r="16854" spans="1:2" x14ac:dyDescent="0.25">
      <c r="A16854" s="4">
        <v>16849</v>
      </c>
      <c r="B16854" s="3" t="str">
        <f>"201511031555"</f>
        <v>201511031555</v>
      </c>
    </row>
    <row r="16855" spans="1:2" x14ac:dyDescent="0.25">
      <c r="A16855" s="4">
        <v>16850</v>
      </c>
      <c r="B16855" s="3" t="str">
        <f>"201511031585"</f>
        <v>201511031585</v>
      </c>
    </row>
    <row r="16856" spans="1:2" x14ac:dyDescent="0.25">
      <c r="A16856" s="4">
        <v>16851</v>
      </c>
      <c r="B16856" s="3" t="str">
        <f>"201511031605"</f>
        <v>201511031605</v>
      </c>
    </row>
    <row r="16857" spans="1:2" x14ac:dyDescent="0.25">
      <c r="A16857" s="4">
        <v>16852</v>
      </c>
      <c r="B16857" s="3" t="str">
        <f>"201511031613"</f>
        <v>201511031613</v>
      </c>
    </row>
    <row r="16858" spans="1:2" x14ac:dyDescent="0.25">
      <c r="A16858" s="4">
        <v>16853</v>
      </c>
      <c r="B16858" s="3" t="str">
        <f>"201511031616"</f>
        <v>201511031616</v>
      </c>
    </row>
    <row r="16859" spans="1:2" x14ac:dyDescent="0.25">
      <c r="A16859" s="4">
        <v>16854</v>
      </c>
      <c r="B16859" s="3" t="str">
        <f>"201511031628"</f>
        <v>201511031628</v>
      </c>
    </row>
    <row r="16860" spans="1:2" x14ac:dyDescent="0.25">
      <c r="A16860" s="4">
        <v>16855</v>
      </c>
      <c r="B16860" s="3" t="str">
        <f>"201511031629"</f>
        <v>201511031629</v>
      </c>
    </row>
    <row r="16861" spans="1:2" x14ac:dyDescent="0.25">
      <c r="A16861" s="4">
        <v>16856</v>
      </c>
      <c r="B16861" s="3" t="str">
        <f>"201511031649"</f>
        <v>201511031649</v>
      </c>
    </row>
    <row r="16862" spans="1:2" x14ac:dyDescent="0.25">
      <c r="A16862" s="4">
        <v>16857</v>
      </c>
      <c r="B16862" s="3" t="str">
        <f>"201511031687"</f>
        <v>201511031687</v>
      </c>
    </row>
    <row r="16863" spans="1:2" x14ac:dyDescent="0.25">
      <c r="A16863" s="4">
        <v>16858</v>
      </c>
      <c r="B16863" s="3" t="str">
        <f>"201511031696"</f>
        <v>201511031696</v>
      </c>
    </row>
    <row r="16864" spans="1:2" x14ac:dyDescent="0.25">
      <c r="A16864" s="4">
        <v>16859</v>
      </c>
      <c r="B16864" s="3" t="str">
        <f>"201511031712"</f>
        <v>201511031712</v>
      </c>
    </row>
    <row r="16865" spans="1:2" x14ac:dyDescent="0.25">
      <c r="A16865" s="4">
        <v>16860</v>
      </c>
      <c r="B16865" s="3" t="str">
        <f>"201511031726"</f>
        <v>201511031726</v>
      </c>
    </row>
    <row r="16866" spans="1:2" x14ac:dyDescent="0.25">
      <c r="A16866" s="4">
        <v>16861</v>
      </c>
      <c r="B16866" s="3" t="str">
        <f>"201511031727"</f>
        <v>201511031727</v>
      </c>
    </row>
    <row r="16867" spans="1:2" x14ac:dyDescent="0.25">
      <c r="A16867" s="4">
        <v>16862</v>
      </c>
      <c r="B16867" s="3" t="str">
        <f>"201511031743"</f>
        <v>201511031743</v>
      </c>
    </row>
    <row r="16868" spans="1:2" x14ac:dyDescent="0.25">
      <c r="A16868" s="4">
        <v>16863</v>
      </c>
      <c r="B16868" s="3" t="str">
        <f>"201511031767"</f>
        <v>201511031767</v>
      </c>
    </row>
    <row r="16869" spans="1:2" x14ac:dyDescent="0.25">
      <c r="A16869" s="4">
        <v>16864</v>
      </c>
      <c r="B16869" s="3" t="str">
        <f>"201511031794"</f>
        <v>201511031794</v>
      </c>
    </row>
    <row r="16870" spans="1:2" x14ac:dyDescent="0.25">
      <c r="A16870" s="4">
        <v>16865</v>
      </c>
      <c r="B16870" s="3" t="str">
        <f>"201511031823"</f>
        <v>201511031823</v>
      </c>
    </row>
    <row r="16871" spans="1:2" x14ac:dyDescent="0.25">
      <c r="A16871" s="4">
        <v>16866</v>
      </c>
      <c r="B16871" s="3" t="str">
        <f>"201511031861"</f>
        <v>201511031861</v>
      </c>
    </row>
    <row r="16872" spans="1:2" x14ac:dyDescent="0.25">
      <c r="A16872" s="4">
        <v>16867</v>
      </c>
      <c r="B16872" s="3" t="str">
        <f>"201511031863"</f>
        <v>201511031863</v>
      </c>
    </row>
    <row r="16873" spans="1:2" x14ac:dyDescent="0.25">
      <c r="A16873" s="4">
        <v>16868</v>
      </c>
      <c r="B16873" s="3" t="str">
        <f>"201511031894"</f>
        <v>201511031894</v>
      </c>
    </row>
    <row r="16874" spans="1:2" x14ac:dyDescent="0.25">
      <c r="A16874" s="4">
        <v>16869</v>
      </c>
      <c r="B16874" s="3" t="str">
        <f>"201511031902"</f>
        <v>201511031902</v>
      </c>
    </row>
    <row r="16875" spans="1:2" x14ac:dyDescent="0.25">
      <c r="A16875" s="4">
        <v>16870</v>
      </c>
      <c r="B16875" s="3" t="str">
        <f>"201511031923"</f>
        <v>201511031923</v>
      </c>
    </row>
    <row r="16876" spans="1:2" x14ac:dyDescent="0.25">
      <c r="A16876" s="4">
        <v>16871</v>
      </c>
      <c r="B16876" s="3" t="str">
        <f>"201511031933"</f>
        <v>201511031933</v>
      </c>
    </row>
    <row r="16877" spans="1:2" x14ac:dyDescent="0.25">
      <c r="A16877" s="4">
        <v>16872</v>
      </c>
      <c r="B16877" s="3" t="str">
        <f>"201511031935"</f>
        <v>201511031935</v>
      </c>
    </row>
    <row r="16878" spans="1:2" x14ac:dyDescent="0.25">
      <c r="A16878" s="4">
        <v>16873</v>
      </c>
      <c r="B16878" s="3" t="str">
        <f>"201511031968"</f>
        <v>201511031968</v>
      </c>
    </row>
    <row r="16879" spans="1:2" x14ac:dyDescent="0.25">
      <c r="A16879" s="4">
        <v>16874</v>
      </c>
      <c r="B16879" s="3" t="str">
        <f>"201511031971"</f>
        <v>201511031971</v>
      </c>
    </row>
    <row r="16880" spans="1:2" x14ac:dyDescent="0.25">
      <c r="A16880" s="4">
        <v>16875</v>
      </c>
      <c r="B16880" s="3" t="str">
        <f>"201511031981"</f>
        <v>201511031981</v>
      </c>
    </row>
    <row r="16881" spans="1:2" x14ac:dyDescent="0.25">
      <c r="A16881" s="4">
        <v>16876</v>
      </c>
      <c r="B16881" s="3" t="str">
        <f>"201511031997"</f>
        <v>201511031997</v>
      </c>
    </row>
    <row r="16882" spans="1:2" x14ac:dyDescent="0.25">
      <c r="A16882" s="4">
        <v>16877</v>
      </c>
      <c r="B16882" s="3" t="str">
        <f>"201511032001"</f>
        <v>201511032001</v>
      </c>
    </row>
    <row r="16883" spans="1:2" x14ac:dyDescent="0.25">
      <c r="A16883" s="4">
        <v>16878</v>
      </c>
      <c r="B16883" s="3" t="str">
        <f>"201511032007"</f>
        <v>201511032007</v>
      </c>
    </row>
    <row r="16884" spans="1:2" x14ac:dyDescent="0.25">
      <c r="A16884" s="4">
        <v>16879</v>
      </c>
      <c r="B16884" s="3" t="str">
        <f>"201511032015"</f>
        <v>201511032015</v>
      </c>
    </row>
    <row r="16885" spans="1:2" x14ac:dyDescent="0.25">
      <c r="A16885" s="4">
        <v>16880</v>
      </c>
      <c r="B16885" s="3" t="str">
        <f>"201511032021"</f>
        <v>201511032021</v>
      </c>
    </row>
    <row r="16886" spans="1:2" x14ac:dyDescent="0.25">
      <c r="A16886" s="4">
        <v>16881</v>
      </c>
      <c r="B16886" s="3" t="str">
        <f>"201511032029"</f>
        <v>201511032029</v>
      </c>
    </row>
    <row r="16887" spans="1:2" x14ac:dyDescent="0.25">
      <c r="A16887" s="4">
        <v>16882</v>
      </c>
      <c r="B16887" s="3" t="str">
        <f>"201511032053"</f>
        <v>201511032053</v>
      </c>
    </row>
    <row r="16888" spans="1:2" x14ac:dyDescent="0.25">
      <c r="A16888" s="4">
        <v>16883</v>
      </c>
      <c r="B16888" s="3" t="str">
        <f>"201511032058"</f>
        <v>201511032058</v>
      </c>
    </row>
    <row r="16889" spans="1:2" x14ac:dyDescent="0.25">
      <c r="A16889" s="4">
        <v>16884</v>
      </c>
      <c r="B16889" s="3" t="str">
        <f>"201511032077"</f>
        <v>201511032077</v>
      </c>
    </row>
    <row r="16890" spans="1:2" x14ac:dyDescent="0.25">
      <c r="A16890" s="4">
        <v>16885</v>
      </c>
      <c r="B16890" s="3" t="str">
        <f>"201511032090"</f>
        <v>201511032090</v>
      </c>
    </row>
    <row r="16891" spans="1:2" x14ac:dyDescent="0.25">
      <c r="A16891" s="4">
        <v>16886</v>
      </c>
      <c r="B16891" s="3" t="str">
        <f>"201511032099"</f>
        <v>201511032099</v>
      </c>
    </row>
    <row r="16892" spans="1:2" x14ac:dyDescent="0.25">
      <c r="A16892" s="4">
        <v>16887</v>
      </c>
      <c r="B16892" s="3" t="str">
        <f>"201511032106"</f>
        <v>201511032106</v>
      </c>
    </row>
    <row r="16893" spans="1:2" x14ac:dyDescent="0.25">
      <c r="A16893" s="4">
        <v>16888</v>
      </c>
      <c r="B16893" s="3" t="str">
        <f>"201511032141"</f>
        <v>201511032141</v>
      </c>
    </row>
    <row r="16894" spans="1:2" x14ac:dyDescent="0.25">
      <c r="A16894" s="4">
        <v>16889</v>
      </c>
      <c r="B16894" s="3" t="str">
        <f>"201511032146"</f>
        <v>201511032146</v>
      </c>
    </row>
    <row r="16895" spans="1:2" x14ac:dyDescent="0.25">
      <c r="A16895" s="4">
        <v>16890</v>
      </c>
      <c r="B16895" s="3" t="str">
        <f>"201511032164"</f>
        <v>201511032164</v>
      </c>
    </row>
    <row r="16896" spans="1:2" x14ac:dyDescent="0.25">
      <c r="A16896" s="4">
        <v>16891</v>
      </c>
      <c r="B16896" s="3" t="str">
        <f>"201511032169"</f>
        <v>201511032169</v>
      </c>
    </row>
    <row r="16897" spans="1:2" x14ac:dyDescent="0.25">
      <c r="A16897" s="4">
        <v>16892</v>
      </c>
      <c r="B16897" s="3" t="str">
        <f>"201511032181"</f>
        <v>201511032181</v>
      </c>
    </row>
    <row r="16898" spans="1:2" x14ac:dyDescent="0.25">
      <c r="A16898" s="4">
        <v>16893</v>
      </c>
      <c r="B16898" s="3" t="str">
        <f>"201511032196"</f>
        <v>201511032196</v>
      </c>
    </row>
    <row r="16899" spans="1:2" x14ac:dyDescent="0.25">
      <c r="A16899" s="4">
        <v>16894</v>
      </c>
      <c r="B16899" s="3" t="str">
        <f>"201511032242"</f>
        <v>201511032242</v>
      </c>
    </row>
    <row r="16900" spans="1:2" x14ac:dyDescent="0.25">
      <c r="A16900" s="4">
        <v>16895</v>
      </c>
      <c r="B16900" s="3" t="str">
        <f>"201511032269"</f>
        <v>201511032269</v>
      </c>
    </row>
    <row r="16901" spans="1:2" x14ac:dyDescent="0.25">
      <c r="A16901" s="4">
        <v>16896</v>
      </c>
      <c r="B16901" s="3" t="str">
        <f>"201511032278"</f>
        <v>201511032278</v>
      </c>
    </row>
    <row r="16902" spans="1:2" x14ac:dyDescent="0.25">
      <c r="A16902" s="4">
        <v>16897</v>
      </c>
      <c r="B16902" s="3" t="str">
        <f>"201511032279"</f>
        <v>201511032279</v>
      </c>
    </row>
    <row r="16903" spans="1:2" x14ac:dyDescent="0.25">
      <c r="A16903" s="4">
        <v>16898</v>
      </c>
      <c r="B16903" s="3" t="str">
        <f>"201511032289"</f>
        <v>201511032289</v>
      </c>
    </row>
    <row r="16904" spans="1:2" x14ac:dyDescent="0.25">
      <c r="A16904" s="4">
        <v>16899</v>
      </c>
      <c r="B16904" s="3" t="str">
        <f>"201511032294"</f>
        <v>201511032294</v>
      </c>
    </row>
    <row r="16905" spans="1:2" x14ac:dyDescent="0.25">
      <c r="A16905" s="4">
        <v>16900</v>
      </c>
      <c r="B16905" s="3" t="str">
        <f>"201511032297"</f>
        <v>201511032297</v>
      </c>
    </row>
    <row r="16906" spans="1:2" x14ac:dyDescent="0.25">
      <c r="A16906" s="4">
        <v>16901</v>
      </c>
      <c r="B16906" s="3" t="str">
        <f>"201511032321"</f>
        <v>201511032321</v>
      </c>
    </row>
    <row r="16907" spans="1:2" x14ac:dyDescent="0.25">
      <c r="A16907" s="4">
        <v>16902</v>
      </c>
      <c r="B16907" s="3" t="str">
        <f>"201511032325"</f>
        <v>201511032325</v>
      </c>
    </row>
    <row r="16908" spans="1:2" x14ac:dyDescent="0.25">
      <c r="A16908" s="4">
        <v>16903</v>
      </c>
      <c r="B16908" s="3" t="str">
        <f>"201511032326"</f>
        <v>201511032326</v>
      </c>
    </row>
    <row r="16909" spans="1:2" x14ac:dyDescent="0.25">
      <c r="A16909" s="4">
        <v>16904</v>
      </c>
      <c r="B16909" s="3" t="str">
        <f>"201511032362"</f>
        <v>201511032362</v>
      </c>
    </row>
    <row r="16910" spans="1:2" x14ac:dyDescent="0.25">
      <c r="A16910" s="4">
        <v>16905</v>
      </c>
      <c r="B16910" s="3" t="str">
        <f>"201511032370"</f>
        <v>201511032370</v>
      </c>
    </row>
    <row r="16911" spans="1:2" x14ac:dyDescent="0.25">
      <c r="A16911" s="4">
        <v>16906</v>
      </c>
      <c r="B16911" s="3" t="str">
        <f>"201511032388"</f>
        <v>201511032388</v>
      </c>
    </row>
    <row r="16912" spans="1:2" x14ac:dyDescent="0.25">
      <c r="A16912" s="4">
        <v>16907</v>
      </c>
      <c r="B16912" s="3" t="str">
        <f>"201511032422"</f>
        <v>201511032422</v>
      </c>
    </row>
    <row r="16913" spans="1:2" x14ac:dyDescent="0.25">
      <c r="A16913" s="4">
        <v>16908</v>
      </c>
      <c r="B16913" s="3" t="str">
        <f>"201511032434"</f>
        <v>201511032434</v>
      </c>
    </row>
    <row r="16914" spans="1:2" x14ac:dyDescent="0.25">
      <c r="A16914" s="4">
        <v>16909</v>
      </c>
      <c r="B16914" s="3" t="str">
        <f>"201511032438"</f>
        <v>201511032438</v>
      </c>
    </row>
    <row r="16915" spans="1:2" x14ac:dyDescent="0.25">
      <c r="A16915" s="4">
        <v>16910</v>
      </c>
      <c r="B16915" s="3" t="str">
        <f>"201511032454"</f>
        <v>201511032454</v>
      </c>
    </row>
    <row r="16916" spans="1:2" x14ac:dyDescent="0.25">
      <c r="A16916" s="4">
        <v>16911</v>
      </c>
      <c r="B16916" s="3" t="str">
        <f>"201511032481"</f>
        <v>201511032481</v>
      </c>
    </row>
    <row r="16917" spans="1:2" x14ac:dyDescent="0.25">
      <c r="A16917" s="4">
        <v>16912</v>
      </c>
      <c r="B16917" s="3" t="str">
        <f>"201511032501"</f>
        <v>201511032501</v>
      </c>
    </row>
    <row r="16918" spans="1:2" x14ac:dyDescent="0.25">
      <c r="A16918" s="4">
        <v>16913</v>
      </c>
      <c r="B16918" s="3" t="str">
        <f>"201511032511"</f>
        <v>201511032511</v>
      </c>
    </row>
    <row r="16919" spans="1:2" x14ac:dyDescent="0.25">
      <c r="A16919" s="4">
        <v>16914</v>
      </c>
      <c r="B16919" s="3" t="str">
        <f>"201511032515"</f>
        <v>201511032515</v>
      </c>
    </row>
    <row r="16920" spans="1:2" x14ac:dyDescent="0.25">
      <c r="A16920" s="4">
        <v>16915</v>
      </c>
      <c r="B16920" s="3" t="str">
        <f>"201511032519"</f>
        <v>201511032519</v>
      </c>
    </row>
    <row r="16921" spans="1:2" x14ac:dyDescent="0.25">
      <c r="A16921" s="4">
        <v>16916</v>
      </c>
      <c r="B16921" s="3" t="str">
        <f>"201511032563"</f>
        <v>201511032563</v>
      </c>
    </row>
    <row r="16922" spans="1:2" x14ac:dyDescent="0.25">
      <c r="A16922" s="4">
        <v>16917</v>
      </c>
      <c r="B16922" s="3" t="str">
        <f>"201511032577"</f>
        <v>201511032577</v>
      </c>
    </row>
    <row r="16923" spans="1:2" x14ac:dyDescent="0.25">
      <c r="A16923" s="4">
        <v>16918</v>
      </c>
      <c r="B16923" s="3" t="str">
        <f>"201511032580"</f>
        <v>201511032580</v>
      </c>
    </row>
    <row r="16924" spans="1:2" x14ac:dyDescent="0.25">
      <c r="A16924" s="4">
        <v>16919</v>
      </c>
      <c r="B16924" s="3" t="str">
        <f>"201511032586"</f>
        <v>201511032586</v>
      </c>
    </row>
    <row r="16925" spans="1:2" x14ac:dyDescent="0.25">
      <c r="A16925" s="4">
        <v>16920</v>
      </c>
      <c r="B16925" s="3" t="str">
        <f>"201511032593"</f>
        <v>201511032593</v>
      </c>
    </row>
    <row r="16926" spans="1:2" x14ac:dyDescent="0.25">
      <c r="A16926" s="4">
        <v>16921</v>
      </c>
      <c r="B16926" s="3" t="str">
        <f>"201511032597"</f>
        <v>201511032597</v>
      </c>
    </row>
    <row r="16927" spans="1:2" x14ac:dyDescent="0.25">
      <c r="A16927" s="4">
        <v>16922</v>
      </c>
      <c r="B16927" s="3" t="str">
        <f>"201511032612"</f>
        <v>201511032612</v>
      </c>
    </row>
    <row r="16928" spans="1:2" x14ac:dyDescent="0.25">
      <c r="A16928" s="4">
        <v>16923</v>
      </c>
      <c r="B16928" s="3" t="str">
        <f>"201511032615"</f>
        <v>201511032615</v>
      </c>
    </row>
    <row r="16929" spans="1:2" x14ac:dyDescent="0.25">
      <c r="A16929" s="4">
        <v>16924</v>
      </c>
      <c r="B16929" s="3" t="str">
        <f>"201511032631"</f>
        <v>201511032631</v>
      </c>
    </row>
    <row r="16930" spans="1:2" x14ac:dyDescent="0.25">
      <c r="A16930" s="4">
        <v>16925</v>
      </c>
      <c r="B16930" s="3" t="str">
        <f>"201511032639"</f>
        <v>201511032639</v>
      </c>
    </row>
    <row r="16931" spans="1:2" x14ac:dyDescent="0.25">
      <c r="A16931" s="4">
        <v>16926</v>
      </c>
      <c r="B16931" s="3" t="str">
        <f>"201511032645"</f>
        <v>201511032645</v>
      </c>
    </row>
    <row r="16932" spans="1:2" x14ac:dyDescent="0.25">
      <c r="A16932" s="4">
        <v>16927</v>
      </c>
      <c r="B16932" s="3" t="str">
        <f>"201511032681"</f>
        <v>201511032681</v>
      </c>
    </row>
    <row r="16933" spans="1:2" x14ac:dyDescent="0.25">
      <c r="A16933" s="4">
        <v>16928</v>
      </c>
      <c r="B16933" s="3" t="str">
        <f>"201511032709"</f>
        <v>201511032709</v>
      </c>
    </row>
    <row r="16934" spans="1:2" x14ac:dyDescent="0.25">
      <c r="A16934" s="4">
        <v>16929</v>
      </c>
      <c r="B16934" s="3" t="str">
        <f>"201511032731"</f>
        <v>201511032731</v>
      </c>
    </row>
    <row r="16935" spans="1:2" x14ac:dyDescent="0.25">
      <c r="A16935" s="4">
        <v>16930</v>
      </c>
      <c r="B16935" s="3" t="str">
        <f>"201511032790"</f>
        <v>201511032790</v>
      </c>
    </row>
    <row r="16936" spans="1:2" x14ac:dyDescent="0.25">
      <c r="A16936" s="4">
        <v>16931</v>
      </c>
      <c r="B16936" s="3" t="str">
        <f>"201511032799"</f>
        <v>201511032799</v>
      </c>
    </row>
    <row r="16937" spans="1:2" x14ac:dyDescent="0.25">
      <c r="A16937" s="4">
        <v>16932</v>
      </c>
      <c r="B16937" s="3" t="str">
        <f>"201511032838"</f>
        <v>201511032838</v>
      </c>
    </row>
    <row r="16938" spans="1:2" x14ac:dyDescent="0.25">
      <c r="A16938" s="4">
        <v>16933</v>
      </c>
      <c r="B16938" s="3" t="str">
        <f>"201511032849"</f>
        <v>201511032849</v>
      </c>
    </row>
    <row r="16939" spans="1:2" x14ac:dyDescent="0.25">
      <c r="A16939" s="4">
        <v>16934</v>
      </c>
      <c r="B16939" s="3" t="str">
        <f>"201511032850"</f>
        <v>201511032850</v>
      </c>
    </row>
    <row r="16940" spans="1:2" x14ac:dyDescent="0.25">
      <c r="A16940" s="4">
        <v>16935</v>
      </c>
      <c r="B16940" s="3" t="str">
        <f>"201511032868"</f>
        <v>201511032868</v>
      </c>
    </row>
    <row r="16941" spans="1:2" x14ac:dyDescent="0.25">
      <c r="A16941" s="4">
        <v>16936</v>
      </c>
      <c r="B16941" s="3" t="str">
        <f>"201511032869"</f>
        <v>201511032869</v>
      </c>
    </row>
    <row r="16942" spans="1:2" x14ac:dyDescent="0.25">
      <c r="A16942" s="4">
        <v>16937</v>
      </c>
      <c r="B16942" s="3" t="str">
        <f>"201511032873"</f>
        <v>201511032873</v>
      </c>
    </row>
    <row r="16943" spans="1:2" x14ac:dyDescent="0.25">
      <c r="A16943" s="4">
        <v>16938</v>
      </c>
      <c r="B16943" s="3" t="str">
        <f>"201511032893"</f>
        <v>201511032893</v>
      </c>
    </row>
    <row r="16944" spans="1:2" x14ac:dyDescent="0.25">
      <c r="A16944" s="4">
        <v>16939</v>
      </c>
      <c r="B16944" s="3" t="str">
        <f>"201511032895"</f>
        <v>201511032895</v>
      </c>
    </row>
    <row r="16945" spans="1:2" x14ac:dyDescent="0.25">
      <c r="A16945" s="4">
        <v>16940</v>
      </c>
      <c r="B16945" s="3" t="str">
        <f>"201511032906"</f>
        <v>201511032906</v>
      </c>
    </row>
    <row r="16946" spans="1:2" x14ac:dyDescent="0.25">
      <c r="A16946" s="4">
        <v>16941</v>
      </c>
      <c r="B16946" s="3" t="str">
        <f>"201511032938"</f>
        <v>201511032938</v>
      </c>
    </row>
    <row r="16947" spans="1:2" x14ac:dyDescent="0.25">
      <c r="A16947" s="4">
        <v>16942</v>
      </c>
      <c r="B16947" s="3" t="str">
        <f>"201511032957"</f>
        <v>201511032957</v>
      </c>
    </row>
    <row r="16948" spans="1:2" x14ac:dyDescent="0.25">
      <c r="A16948" s="4">
        <v>16943</v>
      </c>
      <c r="B16948" s="3" t="str">
        <f>"201511032972"</f>
        <v>201511032972</v>
      </c>
    </row>
    <row r="16949" spans="1:2" x14ac:dyDescent="0.25">
      <c r="A16949" s="4">
        <v>16944</v>
      </c>
      <c r="B16949" s="3" t="str">
        <f>"201511032995"</f>
        <v>201511032995</v>
      </c>
    </row>
    <row r="16950" spans="1:2" x14ac:dyDescent="0.25">
      <c r="A16950" s="4">
        <v>16945</v>
      </c>
      <c r="B16950" s="3" t="str">
        <f>"201511032998"</f>
        <v>201511032998</v>
      </c>
    </row>
    <row r="16951" spans="1:2" x14ac:dyDescent="0.25">
      <c r="A16951" s="4">
        <v>16946</v>
      </c>
      <c r="B16951" s="3" t="str">
        <f>"201511033016"</f>
        <v>201511033016</v>
      </c>
    </row>
    <row r="16952" spans="1:2" x14ac:dyDescent="0.25">
      <c r="A16952" s="4">
        <v>16947</v>
      </c>
      <c r="B16952" s="3" t="str">
        <f>"201511033024"</f>
        <v>201511033024</v>
      </c>
    </row>
    <row r="16953" spans="1:2" x14ac:dyDescent="0.25">
      <c r="A16953" s="4">
        <v>16948</v>
      </c>
      <c r="B16953" s="3" t="str">
        <f>"201511033041"</f>
        <v>201511033041</v>
      </c>
    </row>
    <row r="16954" spans="1:2" x14ac:dyDescent="0.25">
      <c r="A16954" s="4">
        <v>16949</v>
      </c>
      <c r="B16954" s="3" t="str">
        <f>"201511033048"</f>
        <v>201511033048</v>
      </c>
    </row>
    <row r="16955" spans="1:2" x14ac:dyDescent="0.25">
      <c r="A16955" s="4">
        <v>16950</v>
      </c>
      <c r="B16955" s="3" t="str">
        <f>"201511033083"</f>
        <v>201511033083</v>
      </c>
    </row>
    <row r="16956" spans="1:2" x14ac:dyDescent="0.25">
      <c r="A16956" s="4">
        <v>16951</v>
      </c>
      <c r="B16956" s="3" t="str">
        <f>"201511033113"</f>
        <v>201511033113</v>
      </c>
    </row>
    <row r="16957" spans="1:2" x14ac:dyDescent="0.25">
      <c r="A16957" s="4">
        <v>16952</v>
      </c>
      <c r="B16957" s="3" t="str">
        <f>"201511033169"</f>
        <v>201511033169</v>
      </c>
    </row>
    <row r="16958" spans="1:2" x14ac:dyDescent="0.25">
      <c r="A16958" s="4">
        <v>16953</v>
      </c>
      <c r="B16958" s="3" t="str">
        <f>"201511033223"</f>
        <v>201511033223</v>
      </c>
    </row>
    <row r="16959" spans="1:2" x14ac:dyDescent="0.25">
      <c r="A16959" s="4">
        <v>16954</v>
      </c>
      <c r="B16959" s="3" t="str">
        <f>"201511033252"</f>
        <v>201511033252</v>
      </c>
    </row>
    <row r="16960" spans="1:2" x14ac:dyDescent="0.25">
      <c r="A16960" s="4">
        <v>16955</v>
      </c>
      <c r="B16960" s="3" t="str">
        <f>"201511033253"</f>
        <v>201511033253</v>
      </c>
    </row>
    <row r="16961" spans="1:2" x14ac:dyDescent="0.25">
      <c r="A16961" s="4">
        <v>16956</v>
      </c>
      <c r="B16961" s="3" t="str">
        <f>"201511033264"</f>
        <v>201511033264</v>
      </c>
    </row>
    <row r="16962" spans="1:2" x14ac:dyDescent="0.25">
      <c r="A16962" s="4">
        <v>16957</v>
      </c>
      <c r="B16962" s="3" t="str">
        <f>"201511033265"</f>
        <v>201511033265</v>
      </c>
    </row>
    <row r="16963" spans="1:2" x14ac:dyDescent="0.25">
      <c r="A16963" s="4">
        <v>16958</v>
      </c>
      <c r="B16963" s="3" t="str">
        <f>"201511033272"</f>
        <v>201511033272</v>
      </c>
    </row>
    <row r="16964" spans="1:2" x14ac:dyDescent="0.25">
      <c r="A16964" s="4">
        <v>16959</v>
      </c>
      <c r="B16964" s="3" t="str">
        <f>"201511033280"</f>
        <v>201511033280</v>
      </c>
    </row>
    <row r="16965" spans="1:2" x14ac:dyDescent="0.25">
      <c r="A16965" s="4">
        <v>16960</v>
      </c>
      <c r="B16965" s="3" t="str">
        <f>"201511033286"</f>
        <v>201511033286</v>
      </c>
    </row>
    <row r="16966" spans="1:2" x14ac:dyDescent="0.25">
      <c r="A16966" s="4">
        <v>16961</v>
      </c>
      <c r="B16966" s="3" t="str">
        <f>"201511033293"</f>
        <v>201511033293</v>
      </c>
    </row>
    <row r="16967" spans="1:2" x14ac:dyDescent="0.25">
      <c r="A16967" s="4">
        <v>16962</v>
      </c>
      <c r="B16967" s="3" t="str">
        <f>"201511033306"</f>
        <v>201511033306</v>
      </c>
    </row>
    <row r="16968" spans="1:2" x14ac:dyDescent="0.25">
      <c r="A16968" s="4">
        <v>16963</v>
      </c>
      <c r="B16968" s="3" t="str">
        <f>"201511033336"</f>
        <v>201511033336</v>
      </c>
    </row>
    <row r="16969" spans="1:2" x14ac:dyDescent="0.25">
      <c r="A16969" s="4">
        <v>16964</v>
      </c>
      <c r="B16969" s="3" t="str">
        <f>"201511033351"</f>
        <v>201511033351</v>
      </c>
    </row>
    <row r="16970" spans="1:2" x14ac:dyDescent="0.25">
      <c r="A16970" s="4">
        <v>16965</v>
      </c>
      <c r="B16970" s="3" t="str">
        <f>"201511033361"</f>
        <v>201511033361</v>
      </c>
    </row>
    <row r="16971" spans="1:2" x14ac:dyDescent="0.25">
      <c r="A16971" s="4">
        <v>16966</v>
      </c>
      <c r="B16971" s="3" t="str">
        <f>"201511033366"</f>
        <v>201511033366</v>
      </c>
    </row>
    <row r="16972" spans="1:2" x14ac:dyDescent="0.25">
      <c r="A16972" s="4">
        <v>16967</v>
      </c>
      <c r="B16972" s="3" t="str">
        <f>"201511033406"</f>
        <v>201511033406</v>
      </c>
    </row>
    <row r="16973" spans="1:2" x14ac:dyDescent="0.25">
      <c r="A16973" s="4">
        <v>16968</v>
      </c>
      <c r="B16973" s="3" t="str">
        <f>"201511033409"</f>
        <v>201511033409</v>
      </c>
    </row>
    <row r="16974" spans="1:2" x14ac:dyDescent="0.25">
      <c r="A16974" s="4">
        <v>16969</v>
      </c>
      <c r="B16974" s="3" t="str">
        <f>"201511033423"</f>
        <v>201511033423</v>
      </c>
    </row>
    <row r="16975" spans="1:2" x14ac:dyDescent="0.25">
      <c r="A16975" s="4">
        <v>16970</v>
      </c>
      <c r="B16975" s="3" t="str">
        <f>"201511033441"</f>
        <v>201511033441</v>
      </c>
    </row>
    <row r="16976" spans="1:2" x14ac:dyDescent="0.25">
      <c r="A16976" s="4">
        <v>16971</v>
      </c>
      <c r="B16976" s="3" t="str">
        <f>"201511033485"</f>
        <v>201511033485</v>
      </c>
    </row>
    <row r="16977" spans="1:2" x14ac:dyDescent="0.25">
      <c r="A16977" s="4">
        <v>16972</v>
      </c>
      <c r="B16977" s="3" t="str">
        <f>"201511033486"</f>
        <v>201511033486</v>
      </c>
    </row>
    <row r="16978" spans="1:2" x14ac:dyDescent="0.25">
      <c r="A16978" s="4">
        <v>16973</v>
      </c>
      <c r="B16978" s="3" t="str">
        <f>"201511033492"</f>
        <v>201511033492</v>
      </c>
    </row>
    <row r="16979" spans="1:2" x14ac:dyDescent="0.25">
      <c r="A16979" s="4">
        <v>16974</v>
      </c>
      <c r="B16979" s="3" t="str">
        <f>"201511033504"</f>
        <v>201511033504</v>
      </c>
    </row>
    <row r="16980" spans="1:2" x14ac:dyDescent="0.25">
      <c r="A16980" s="4">
        <v>16975</v>
      </c>
      <c r="B16980" s="3" t="str">
        <f>"201511033508"</f>
        <v>201511033508</v>
      </c>
    </row>
    <row r="16981" spans="1:2" x14ac:dyDescent="0.25">
      <c r="A16981" s="4">
        <v>16976</v>
      </c>
      <c r="B16981" s="3" t="str">
        <f>"201511033514"</f>
        <v>201511033514</v>
      </c>
    </row>
    <row r="16982" spans="1:2" x14ac:dyDescent="0.25">
      <c r="A16982" s="4">
        <v>16977</v>
      </c>
      <c r="B16982" s="3" t="str">
        <f>"201511033519"</f>
        <v>201511033519</v>
      </c>
    </row>
    <row r="16983" spans="1:2" x14ac:dyDescent="0.25">
      <c r="A16983" s="4">
        <v>16978</v>
      </c>
      <c r="B16983" s="3" t="str">
        <f>"201511033520"</f>
        <v>201511033520</v>
      </c>
    </row>
    <row r="16984" spans="1:2" x14ac:dyDescent="0.25">
      <c r="A16984" s="4">
        <v>16979</v>
      </c>
      <c r="B16984" s="3" t="str">
        <f>"201511033561"</f>
        <v>201511033561</v>
      </c>
    </row>
    <row r="16985" spans="1:2" x14ac:dyDescent="0.25">
      <c r="A16985" s="4">
        <v>16980</v>
      </c>
      <c r="B16985" s="3" t="str">
        <f>"201511033565"</f>
        <v>201511033565</v>
      </c>
    </row>
    <row r="16986" spans="1:2" x14ac:dyDescent="0.25">
      <c r="A16986" s="4">
        <v>16981</v>
      </c>
      <c r="B16986" s="3" t="str">
        <f>"201511033599"</f>
        <v>201511033599</v>
      </c>
    </row>
    <row r="16987" spans="1:2" x14ac:dyDescent="0.25">
      <c r="A16987" s="4">
        <v>16982</v>
      </c>
      <c r="B16987" s="3" t="str">
        <f>"201511033614"</f>
        <v>201511033614</v>
      </c>
    </row>
    <row r="16988" spans="1:2" x14ac:dyDescent="0.25">
      <c r="A16988" s="4">
        <v>16983</v>
      </c>
      <c r="B16988" s="3" t="str">
        <f>"201511033630"</f>
        <v>201511033630</v>
      </c>
    </row>
    <row r="16989" spans="1:2" x14ac:dyDescent="0.25">
      <c r="A16989" s="4">
        <v>16984</v>
      </c>
      <c r="B16989" s="3" t="str">
        <f>"201511033643"</f>
        <v>201511033643</v>
      </c>
    </row>
    <row r="16990" spans="1:2" x14ac:dyDescent="0.25">
      <c r="A16990" s="4">
        <v>16985</v>
      </c>
      <c r="B16990" s="3" t="str">
        <f>"201511033646"</f>
        <v>201511033646</v>
      </c>
    </row>
    <row r="16991" spans="1:2" x14ac:dyDescent="0.25">
      <c r="A16991" s="4">
        <v>16986</v>
      </c>
      <c r="B16991" s="3" t="str">
        <f>"201511033677"</f>
        <v>201511033677</v>
      </c>
    </row>
    <row r="16992" spans="1:2" x14ac:dyDescent="0.25">
      <c r="A16992" s="4">
        <v>16987</v>
      </c>
      <c r="B16992" s="3" t="str">
        <f>"201511033703"</f>
        <v>201511033703</v>
      </c>
    </row>
    <row r="16993" spans="1:2" x14ac:dyDescent="0.25">
      <c r="A16993" s="4">
        <v>16988</v>
      </c>
      <c r="B16993" s="3" t="str">
        <f>"201511033706"</f>
        <v>201511033706</v>
      </c>
    </row>
    <row r="16994" spans="1:2" x14ac:dyDescent="0.25">
      <c r="A16994" s="4">
        <v>16989</v>
      </c>
      <c r="B16994" s="3" t="str">
        <f>"201511033717"</f>
        <v>201511033717</v>
      </c>
    </row>
    <row r="16995" spans="1:2" x14ac:dyDescent="0.25">
      <c r="A16995" s="4">
        <v>16990</v>
      </c>
      <c r="B16995" s="3" t="str">
        <f>"201511033721"</f>
        <v>201511033721</v>
      </c>
    </row>
    <row r="16996" spans="1:2" x14ac:dyDescent="0.25">
      <c r="A16996" s="4">
        <v>16991</v>
      </c>
      <c r="B16996" s="3" t="str">
        <f>"201511033745"</f>
        <v>201511033745</v>
      </c>
    </row>
    <row r="16997" spans="1:2" x14ac:dyDescent="0.25">
      <c r="A16997" s="4">
        <v>16992</v>
      </c>
      <c r="B16997" s="3" t="str">
        <f>"201511033754"</f>
        <v>201511033754</v>
      </c>
    </row>
    <row r="16998" spans="1:2" x14ac:dyDescent="0.25">
      <c r="A16998" s="4">
        <v>16993</v>
      </c>
      <c r="B16998" s="3" t="str">
        <f>"201511033755"</f>
        <v>201511033755</v>
      </c>
    </row>
    <row r="16999" spans="1:2" x14ac:dyDescent="0.25">
      <c r="A16999" s="4">
        <v>16994</v>
      </c>
      <c r="B16999" s="3" t="str">
        <f>"201511033756"</f>
        <v>201511033756</v>
      </c>
    </row>
    <row r="17000" spans="1:2" x14ac:dyDescent="0.25">
      <c r="A17000" s="4">
        <v>16995</v>
      </c>
      <c r="B17000" s="3" t="str">
        <f>"201511033798"</f>
        <v>201511033798</v>
      </c>
    </row>
    <row r="17001" spans="1:2" x14ac:dyDescent="0.25">
      <c r="A17001" s="4">
        <v>16996</v>
      </c>
      <c r="B17001" s="3" t="str">
        <f>"201511033824"</f>
        <v>201511033824</v>
      </c>
    </row>
    <row r="17002" spans="1:2" x14ac:dyDescent="0.25">
      <c r="A17002" s="4">
        <v>16997</v>
      </c>
      <c r="B17002" s="3" t="str">
        <f>"201511033826"</f>
        <v>201511033826</v>
      </c>
    </row>
    <row r="17003" spans="1:2" x14ac:dyDescent="0.25">
      <c r="A17003" s="4">
        <v>16998</v>
      </c>
      <c r="B17003" s="3" t="str">
        <f>"201511033831"</f>
        <v>201511033831</v>
      </c>
    </row>
    <row r="17004" spans="1:2" x14ac:dyDescent="0.25">
      <c r="A17004" s="4">
        <v>16999</v>
      </c>
      <c r="B17004" s="3" t="str">
        <f>"201511033834"</f>
        <v>201511033834</v>
      </c>
    </row>
    <row r="17005" spans="1:2" x14ac:dyDescent="0.25">
      <c r="A17005" s="4">
        <v>17000</v>
      </c>
      <c r="B17005" s="3" t="str">
        <f>"201511033858"</f>
        <v>201511033858</v>
      </c>
    </row>
    <row r="17006" spans="1:2" x14ac:dyDescent="0.25">
      <c r="A17006" s="4">
        <v>17001</v>
      </c>
      <c r="B17006" s="3" t="str">
        <f>"201511033918"</f>
        <v>201511033918</v>
      </c>
    </row>
    <row r="17007" spans="1:2" x14ac:dyDescent="0.25">
      <c r="A17007" s="4">
        <v>17002</v>
      </c>
      <c r="B17007" s="3" t="str">
        <f>"201511033930"</f>
        <v>201511033930</v>
      </c>
    </row>
    <row r="17008" spans="1:2" x14ac:dyDescent="0.25">
      <c r="A17008" s="4">
        <v>17003</v>
      </c>
      <c r="B17008" s="3" t="str">
        <f>"201511033938"</f>
        <v>201511033938</v>
      </c>
    </row>
    <row r="17009" spans="1:2" x14ac:dyDescent="0.25">
      <c r="A17009" s="4">
        <v>17004</v>
      </c>
      <c r="B17009" s="3" t="str">
        <f>"201511033940"</f>
        <v>201511033940</v>
      </c>
    </row>
    <row r="17010" spans="1:2" x14ac:dyDescent="0.25">
      <c r="A17010" s="4">
        <v>17005</v>
      </c>
      <c r="B17010" s="3" t="str">
        <f>"201511033993"</f>
        <v>201511033993</v>
      </c>
    </row>
    <row r="17011" spans="1:2" x14ac:dyDescent="0.25">
      <c r="A17011" s="4">
        <v>17006</v>
      </c>
      <c r="B17011" s="3" t="str">
        <f>"201511033995"</f>
        <v>201511033995</v>
      </c>
    </row>
    <row r="17012" spans="1:2" x14ac:dyDescent="0.25">
      <c r="A17012" s="4">
        <v>17007</v>
      </c>
      <c r="B17012" s="3" t="str">
        <f>"201511033998"</f>
        <v>201511033998</v>
      </c>
    </row>
    <row r="17013" spans="1:2" x14ac:dyDescent="0.25">
      <c r="A17013" s="4">
        <v>17008</v>
      </c>
      <c r="B17013" s="3" t="str">
        <f>"201511034001"</f>
        <v>201511034001</v>
      </c>
    </row>
    <row r="17014" spans="1:2" x14ac:dyDescent="0.25">
      <c r="A17014" s="4">
        <v>17009</v>
      </c>
      <c r="B17014" s="3" t="str">
        <f>"201511034010"</f>
        <v>201511034010</v>
      </c>
    </row>
    <row r="17015" spans="1:2" x14ac:dyDescent="0.25">
      <c r="A17015" s="4">
        <v>17010</v>
      </c>
      <c r="B17015" s="3" t="str">
        <f>"201511034023"</f>
        <v>201511034023</v>
      </c>
    </row>
    <row r="17016" spans="1:2" x14ac:dyDescent="0.25">
      <c r="A17016" s="4">
        <v>17011</v>
      </c>
      <c r="B17016" s="3" t="str">
        <f>"201511034024"</f>
        <v>201511034024</v>
      </c>
    </row>
    <row r="17017" spans="1:2" x14ac:dyDescent="0.25">
      <c r="A17017" s="4">
        <v>17012</v>
      </c>
      <c r="B17017" s="3" t="str">
        <f>"201511034025"</f>
        <v>201511034025</v>
      </c>
    </row>
    <row r="17018" spans="1:2" x14ac:dyDescent="0.25">
      <c r="A17018" s="4">
        <v>17013</v>
      </c>
      <c r="B17018" s="3" t="str">
        <f>"201511034055"</f>
        <v>201511034055</v>
      </c>
    </row>
    <row r="17019" spans="1:2" x14ac:dyDescent="0.25">
      <c r="A17019" s="4">
        <v>17014</v>
      </c>
      <c r="B17019" s="3" t="str">
        <f>"201511034060"</f>
        <v>201511034060</v>
      </c>
    </row>
    <row r="17020" spans="1:2" x14ac:dyDescent="0.25">
      <c r="A17020" s="4">
        <v>17015</v>
      </c>
      <c r="B17020" s="3" t="str">
        <f>"201511034065"</f>
        <v>201511034065</v>
      </c>
    </row>
    <row r="17021" spans="1:2" x14ac:dyDescent="0.25">
      <c r="A17021" s="4">
        <v>17016</v>
      </c>
      <c r="B17021" s="3" t="str">
        <f>"201511034080"</f>
        <v>201511034080</v>
      </c>
    </row>
    <row r="17022" spans="1:2" x14ac:dyDescent="0.25">
      <c r="A17022" s="4">
        <v>17017</v>
      </c>
      <c r="B17022" s="3" t="str">
        <f>"201511034085"</f>
        <v>201511034085</v>
      </c>
    </row>
    <row r="17023" spans="1:2" x14ac:dyDescent="0.25">
      <c r="A17023" s="4">
        <v>17018</v>
      </c>
      <c r="B17023" s="3" t="str">
        <f>"201511034087"</f>
        <v>201511034087</v>
      </c>
    </row>
    <row r="17024" spans="1:2" x14ac:dyDescent="0.25">
      <c r="A17024" s="4">
        <v>17019</v>
      </c>
      <c r="B17024" s="3" t="str">
        <f>"201511034088"</f>
        <v>201511034088</v>
      </c>
    </row>
    <row r="17025" spans="1:2" x14ac:dyDescent="0.25">
      <c r="A17025" s="4">
        <v>17020</v>
      </c>
      <c r="B17025" s="3" t="str">
        <f>"201511034091"</f>
        <v>201511034091</v>
      </c>
    </row>
    <row r="17026" spans="1:2" x14ac:dyDescent="0.25">
      <c r="A17026" s="4">
        <v>17021</v>
      </c>
      <c r="B17026" s="3" t="str">
        <f>"201511034093"</f>
        <v>201511034093</v>
      </c>
    </row>
    <row r="17027" spans="1:2" x14ac:dyDescent="0.25">
      <c r="A17027" s="4">
        <v>17022</v>
      </c>
      <c r="B17027" s="3" t="str">
        <f>"201511034097"</f>
        <v>201511034097</v>
      </c>
    </row>
    <row r="17028" spans="1:2" x14ac:dyDescent="0.25">
      <c r="A17028" s="4">
        <v>17023</v>
      </c>
      <c r="B17028" s="3" t="str">
        <f>"201511034099"</f>
        <v>201511034099</v>
      </c>
    </row>
    <row r="17029" spans="1:2" x14ac:dyDescent="0.25">
      <c r="A17029" s="4">
        <v>17024</v>
      </c>
      <c r="B17029" s="3" t="str">
        <f>"201511034106"</f>
        <v>201511034106</v>
      </c>
    </row>
    <row r="17030" spans="1:2" x14ac:dyDescent="0.25">
      <c r="A17030" s="4">
        <v>17025</v>
      </c>
      <c r="B17030" s="3" t="str">
        <f>"201511034120"</f>
        <v>201511034120</v>
      </c>
    </row>
    <row r="17031" spans="1:2" x14ac:dyDescent="0.25">
      <c r="A17031" s="4">
        <v>17026</v>
      </c>
      <c r="B17031" s="3" t="str">
        <f>"201511034126"</f>
        <v>201511034126</v>
      </c>
    </row>
    <row r="17032" spans="1:2" x14ac:dyDescent="0.25">
      <c r="A17032" s="4">
        <v>17027</v>
      </c>
      <c r="B17032" s="3" t="str">
        <f>"201511034130"</f>
        <v>201511034130</v>
      </c>
    </row>
    <row r="17033" spans="1:2" x14ac:dyDescent="0.25">
      <c r="A17033" s="4">
        <v>17028</v>
      </c>
      <c r="B17033" s="3" t="str">
        <f>"201511034144"</f>
        <v>201511034144</v>
      </c>
    </row>
    <row r="17034" spans="1:2" x14ac:dyDescent="0.25">
      <c r="A17034" s="4">
        <v>17029</v>
      </c>
      <c r="B17034" s="3" t="str">
        <f>"201511034157"</f>
        <v>201511034157</v>
      </c>
    </row>
    <row r="17035" spans="1:2" x14ac:dyDescent="0.25">
      <c r="A17035" s="4">
        <v>17030</v>
      </c>
      <c r="B17035" s="3" t="str">
        <f>"201511034161"</f>
        <v>201511034161</v>
      </c>
    </row>
    <row r="17036" spans="1:2" x14ac:dyDescent="0.25">
      <c r="A17036" s="4">
        <v>17031</v>
      </c>
      <c r="B17036" s="3" t="str">
        <f>"201511034167"</f>
        <v>201511034167</v>
      </c>
    </row>
    <row r="17037" spans="1:2" x14ac:dyDescent="0.25">
      <c r="A17037" s="4">
        <v>17032</v>
      </c>
      <c r="B17037" s="3" t="str">
        <f>"201511034208"</f>
        <v>201511034208</v>
      </c>
    </row>
    <row r="17038" spans="1:2" x14ac:dyDescent="0.25">
      <c r="A17038" s="4">
        <v>17033</v>
      </c>
      <c r="B17038" s="3" t="str">
        <f>"201511034213"</f>
        <v>201511034213</v>
      </c>
    </row>
    <row r="17039" spans="1:2" x14ac:dyDescent="0.25">
      <c r="A17039" s="4">
        <v>17034</v>
      </c>
      <c r="B17039" s="3" t="str">
        <f>"201511034216"</f>
        <v>201511034216</v>
      </c>
    </row>
    <row r="17040" spans="1:2" x14ac:dyDescent="0.25">
      <c r="A17040" s="4">
        <v>17035</v>
      </c>
      <c r="B17040" s="3" t="str">
        <f>"201511034254"</f>
        <v>201511034254</v>
      </c>
    </row>
    <row r="17041" spans="1:2" x14ac:dyDescent="0.25">
      <c r="A17041" s="4">
        <v>17036</v>
      </c>
      <c r="B17041" s="3" t="str">
        <f>"201511034321"</f>
        <v>201511034321</v>
      </c>
    </row>
    <row r="17042" spans="1:2" x14ac:dyDescent="0.25">
      <c r="A17042" s="4">
        <v>17037</v>
      </c>
      <c r="B17042" s="3" t="str">
        <f>"201511034334"</f>
        <v>201511034334</v>
      </c>
    </row>
    <row r="17043" spans="1:2" x14ac:dyDescent="0.25">
      <c r="A17043" s="4">
        <v>17038</v>
      </c>
      <c r="B17043" s="3" t="str">
        <f>"201511034347"</f>
        <v>201511034347</v>
      </c>
    </row>
    <row r="17044" spans="1:2" x14ac:dyDescent="0.25">
      <c r="A17044" s="4">
        <v>17039</v>
      </c>
      <c r="B17044" s="3" t="str">
        <f>"201511034363"</f>
        <v>201511034363</v>
      </c>
    </row>
    <row r="17045" spans="1:2" x14ac:dyDescent="0.25">
      <c r="A17045" s="4">
        <v>17040</v>
      </c>
      <c r="B17045" s="3" t="str">
        <f>"201511034366"</f>
        <v>201511034366</v>
      </c>
    </row>
    <row r="17046" spans="1:2" x14ac:dyDescent="0.25">
      <c r="A17046" s="4">
        <v>17041</v>
      </c>
      <c r="B17046" s="3" t="str">
        <f>"201511034375"</f>
        <v>201511034375</v>
      </c>
    </row>
    <row r="17047" spans="1:2" x14ac:dyDescent="0.25">
      <c r="A17047" s="4">
        <v>17042</v>
      </c>
      <c r="B17047" s="3" t="str">
        <f>"201511034389"</f>
        <v>201511034389</v>
      </c>
    </row>
    <row r="17048" spans="1:2" x14ac:dyDescent="0.25">
      <c r="A17048" s="4">
        <v>17043</v>
      </c>
      <c r="B17048" s="3" t="str">
        <f>"201511034405"</f>
        <v>201511034405</v>
      </c>
    </row>
    <row r="17049" spans="1:2" x14ac:dyDescent="0.25">
      <c r="A17049" s="4">
        <v>17044</v>
      </c>
      <c r="B17049" s="3" t="str">
        <f>"201511034426"</f>
        <v>201511034426</v>
      </c>
    </row>
    <row r="17050" spans="1:2" x14ac:dyDescent="0.25">
      <c r="A17050" s="4">
        <v>17045</v>
      </c>
      <c r="B17050" s="3" t="str">
        <f>"201511034479"</f>
        <v>201511034479</v>
      </c>
    </row>
    <row r="17051" spans="1:2" x14ac:dyDescent="0.25">
      <c r="A17051" s="4">
        <v>17046</v>
      </c>
      <c r="B17051" s="3" t="str">
        <f>"201511034481"</f>
        <v>201511034481</v>
      </c>
    </row>
    <row r="17052" spans="1:2" x14ac:dyDescent="0.25">
      <c r="A17052" s="4">
        <v>17047</v>
      </c>
      <c r="B17052" s="3" t="str">
        <f>"201511034488"</f>
        <v>201511034488</v>
      </c>
    </row>
    <row r="17053" spans="1:2" x14ac:dyDescent="0.25">
      <c r="A17053" s="4">
        <v>17048</v>
      </c>
      <c r="B17053" s="3" t="str">
        <f>"201511034489"</f>
        <v>201511034489</v>
      </c>
    </row>
    <row r="17054" spans="1:2" x14ac:dyDescent="0.25">
      <c r="A17054" s="4">
        <v>17049</v>
      </c>
      <c r="B17054" s="3" t="str">
        <f>"201511034502"</f>
        <v>201511034502</v>
      </c>
    </row>
    <row r="17055" spans="1:2" x14ac:dyDescent="0.25">
      <c r="A17055" s="4">
        <v>17050</v>
      </c>
      <c r="B17055" s="3" t="str">
        <f>"201511034562"</f>
        <v>201511034562</v>
      </c>
    </row>
    <row r="17056" spans="1:2" x14ac:dyDescent="0.25">
      <c r="A17056" s="4">
        <v>17051</v>
      </c>
      <c r="B17056" s="3" t="str">
        <f>"201511034567"</f>
        <v>201511034567</v>
      </c>
    </row>
    <row r="17057" spans="1:2" x14ac:dyDescent="0.25">
      <c r="A17057" s="4">
        <v>17052</v>
      </c>
      <c r="B17057" s="3" t="str">
        <f>"201511034568"</f>
        <v>201511034568</v>
      </c>
    </row>
    <row r="17058" spans="1:2" x14ac:dyDescent="0.25">
      <c r="A17058" s="4">
        <v>17053</v>
      </c>
      <c r="B17058" s="3" t="str">
        <f>"201511034572"</f>
        <v>201511034572</v>
      </c>
    </row>
    <row r="17059" spans="1:2" x14ac:dyDescent="0.25">
      <c r="A17059" s="4">
        <v>17054</v>
      </c>
      <c r="B17059" s="3" t="str">
        <f>"201511034592"</f>
        <v>201511034592</v>
      </c>
    </row>
    <row r="17060" spans="1:2" x14ac:dyDescent="0.25">
      <c r="A17060" s="4">
        <v>17055</v>
      </c>
      <c r="B17060" s="3" t="str">
        <f>"201511034600"</f>
        <v>201511034600</v>
      </c>
    </row>
    <row r="17061" spans="1:2" x14ac:dyDescent="0.25">
      <c r="A17061" s="4">
        <v>17056</v>
      </c>
      <c r="B17061" s="3" t="str">
        <f>"201511034610"</f>
        <v>201511034610</v>
      </c>
    </row>
    <row r="17062" spans="1:2" x14ac:dyDescent="0.25">
      <c r="A17062" s="4">
        <v>17057</v>
      </c>
      <c r="B17062" s="3" t="str">
        <f>"201511034611"</f>
        <v>201511034611</v>
      </c>
    </row>
    <row r="17063" spans="1:2" x14ac:dyDescent="0.25">
      <c r="A17063" s="4">
        <v>17058</v>
      </c>
      <c r="B17063" s="3" t="str">
        <f>"201511034622"</f>
        <v>201511034622</v>
      </c>
    </row>
    <row r="17064" spans="1:2" x14ac:dyDescent="0.25">
      <c r="A17064" s="4">
        <v>17059</v>
      </c>
      <c r="B17064" s="3" t="str">
        <f>"201511034628"</f>
        <v>201511034628</v>
      </c>
    </row>
    <row r="17065" spans="1:2" x14ac:dyDescent="0.25">
      <c r="A17065" s="4">
        <v>17060</v>
      </c>
      <c r="B17065" s="3" t="str">
        <f>"201511034658"</f>
        <v>201511034658</v>
      </c>
    </row>
    <row r="17066" spans="1:2" x14ac:dyDescent="0.25">
      <c r="A17066" s="4">
        <v>17061</v>
      </c>
      <c r="B17066" s="3" t="str">
        <f>"201511034713"</f>
        <v>201511034713</v>
      </c>
    </row>
    <row r="17067" spans="1:2" x14ac:dyDescent="0.25">
      <c r="A17067" s="4">
        <v>17062</v>
      </c>
      <c r="B17067" s="3" t="str">
        <f>"201511034725"</f>
        <v>201511034725</v>
      </c>
    </row>
    <row r="17068" spans="1:2" x14ac:dyDescent="0.25">
      <c r="A17068" s="4">
        <v>17063</v>
      </c>
      <c r="B17068" s="3" t="str">
        <f>"201511034746"</f>
        <v>201511034746</v>
      </c>
    </row>
    <row r="17069" spans="1:2" x14ac:dyDescent="0.25">
      <c r="A17069" s="4">
        <v>17064</v>
      </c>
      <c r="B17069" s="3" t="str">
        <f>"201511034799"</f>
        <v>201511034799</v>
      </c>
    </row>
    <row r="17070" spans="1:2" x14ac:dyDescent="0.25">
      <c r="A17070" s="4">
        <v>17065</v>
      </c>
      <c r="B17070" s="3" t="str">
        <f>"201511034805"</f>
        <v>201511034805</v>
      </c>
    </row>
    <row r="17071" spans="1:2" x14ac:dyDescent="0.25">
      <c r="A17071" s="4">
        <v>17066</v>
      </c>
      <c r="B17071" s="3" t="str">
        <f>"201511034812"</f>
        <v>201511034812</v>
      </c>
    </row>
    <row r="17072" spans="1:2" x14ac:dyDescent="0.25">
      <c r="A17072" s="4">
        <v>17067</v>
      </c>
      <c r="B17072" s="3" t="str">
        <f>"201511034840"</f>
        <v>201511034840</v>
      </c>
    </row>
    <row r="17073" spans="1:2" x14ac:dyDescent="0.25">
      <c r="A17073" s="4">
        <v>17068</v>
      </c>
      <c r="B17073" s="3" t="str">
        <f>"201511034860"</f>
        <v>201511034860</v>
      </c>
    </row>
    <row r="17074" spans="1:2" x14ac:dyDescent="0.25">
      <c r="A17074" s="4">
        <v>17069</v>
      </c>
      <c r="B17074" s="3" t="str">
        <f>"201511034864"</f>
        <v>201511034864</v>
      </c>
    </row>
    <row r="17075" spans="1:2" x14ac:dyDescent="0.25">
      <c r="A17075" s="4">
        <v>17070</v>
      </c>
      <c r="B17075" s="3" t="str">
        <f>"201511034876"</f>
        <v>201511034876</v>
      </c>
    </row>
    <row r="17076" spans="1:2" x14ac:dyDescent="0.25">
      <c r="A17076" s="4">
        <v>17071</v>
      </c>
      <c r="B17076" s="3" t="str">
        <f>"201511034903"</f>
        <v>201511034903</v>
      </c>
    </row>
    <row r="17077" spans="1:2" x14ac:dyDescent="0.25">
      <c r="A17077" s="4">
        <v>17072</v>
      </c>
      <c r="B17077" s="3" t="str">
        <f>"201511034907"</f>
        <v>201511034907</v>
      </c>
    </row>
    <row r="17078" spans="1:2" x14ac:dyDescent="0.25">
      <c r="A17078" s="4">
        <v>17073</v>
      </c>
      <c r="B17078" s="3" t="str">
        <f>"201511034911"</f>
        <v>201511034911</v>
      </c>
    </row>
    <row r="17079" spans="1:2" x14ac:dyDescent="0.25">
      <c r="A17079" s="4">
        <v>17074</v>
      </c>
      <c r="B17079" s="3" t="str">
        <f>"201511034938"</f>
        <v>201511034938</v>
      </c>
    </row>
    <row r="17080" spans="1:2" x14ac:dyDescent="0.25">
      <c r="A17080" s="4">
        <v>17075</v>
      </c>
      <c r="B17080" s="3" t="str">
        <f>"201511034952"</f>
        <v>201511034952</v>
      </c>
    </row>
    <row r="17081" spans="1:2" x14ac:dyDescent="0.25">
      <c r="A17081" s="4">
        <v>17076</v>
      </c>
      <c r="B17081" s="3" t="str">
        <f>"201511034956"</f>
        <v>201511034956</v>
      </c>
    </row>
    <row r="17082" spans="1:2" x14ac:dyDescent="0.25">
      <c r="A17082" s="4">
        <v>17077</v>
      </c>
      <c r="B17082" s="3" t="str">
        <f>"201511034965"</f>
        <v>201511034965</v>
      </c>
    </row>
    <row r="17083" spans="1:2" x14ac:dyDescent="0.25">
      <c r="A17083" s="4">
        <v>17078</v>
      </c>
      <c r="B17083" s="3" t="str">
        <f>"201511034967"</f>
        <v>201511034967</v>
      </c>
    </row>
    <row r="17084" spans="1:2" x14ac:dyDescent="0.25">
      <c r="A17084" s="4">
        <v>17079</v>
      </c>
      <c r="B17084" s="3" t="str">
        <f>"201511034989"</f>
        <v>201511034989</v>
      </c>
    </row>
    <row r="17085" spans="1:2" x14ac:dyDescent="0.25">
      <c r="A17085" s="4">
        <v>17080</v>
      </c>
      <c r="B17085" s="3" t="str">
        <f>"201511034994"</f>
        <v>201511034994</v>
      </c>
    </row>
    <row r="17086" spans="1:2" x14ac:dyDescent="0.25">
      <c r="A17086" s="4">
        <v>17081</v>
      </c>
      <c r="B17086" s="3" t="str">
        <f>"201511035015"</f>
        <v>201511035015</v>
      </c>
    </row>
    <row r="17087" spans="1:2" x14ac:dyDescent="0.25">
      <c r="A17087" s="4">
        <v>17082</v>
      </c>
      <c r="B17087" s="3" t="str">
        <f>"201511035026"</f>
        <v>201511035026</v>
      </c>
    </row>
    <row r="17088" spans="1:2" x14ac:dyDescent="0.25">
      <c r="A17088" s="4">
        <v>17083</v>
      </c>
      <c r="B17088" s="3" t="str">
        <f>"201511035028"</f>
        <v>201511035028</v>
      </c>
    </row>
    <row r="17089" spans="1:2" x14ac:dyDescent="0.25">
      <c r="A17089" s="4">
        <v>17084</v>
      </c>
      <c r="B17089" s="3" t="str">
        <f>"201511035031"</f>
        <v>201511035031</v>
      </c>
    </row>
    <row r="17090" spans="1:2" x14ac:dyDescent="0.25">
      <c r="A17090" s="4">
        <v>17085</v>
      </c>
      <c r="B17090" s="3" t="str">
        <f>"201511035032"</f>
        <v>201511035032</v>
      </c>
    </row>
    <row r="17091" spans="1:2" x14ac:dyDescent="0.25">
      <c r="A17091" s="4">
        <v>17086</v>
      </c>
      <c r="B17091" s="3" t="str">
        <f>"201511035056"</f>
        <v>201511035056</v>
      </c>
    </row>
    <row r="17092" spans="1:2" x14ac:dyDescent="0.25">
      <c r="A17092" s="4">
        <v>17087</v>
      </c>
      <c r="B17092" s="3" t="str">
        <f>"201511035066"</f>
        <v>201511035066</v>
      </c>
    </row>
    <row r="17093" spans="1:2" x14ac:dyDescent="0.25">
      <c r="A17093" s="4">
        <v>17088</v>
      </c>
      <c r="B17093" s="3" t="str">
        <f>"201511035078"</f>
        <v>201511035078</v>
      </c>
    </row>
    <row r="17094" spans="1:2" x14ac:dyDescent="0.25">
      <c r="A17094" s="4">
        <v>17089</v>
      </c>
      <c r="B17094" s="3" t="str">
        <f>"201511035092"</f>
        <v>201511035092</v>
      </c>
    </row>
    <row r="17095" spans="1:2" x14ac:dyDescent="0.25">
      <c r="A17095" s="4">
        <v>17090</v>
      </c>
      <c r="B17095" s="3" t="str">
        <f>"201511035104"</f>
        <v>201511035104</v>
      </c>
    </row>
    <row r="17096" spans="1:2" x14ac:dyDescent="0.25">
      <c r="A17096" s="4">
        <v>17091</v>
      </c>
      <c r="B17096" s="3" t="str">
        <f>"201511035113"</f>
        <v>201511035113</v>
      </c>
    </row>
    <row r="17097" spans="1:2" x14ac:dyDescent="0.25">
      <c r="A17097" s="4">
        <v>17092</v>
      </c>
      <c r="B17097" s="3" t="str">
        <f>"201511035123"</f>
        <v>201511035123</v>
      </c>
    </row>
    <row r="17098" spans="1:2" x14ac:dyDescent="0.25">
      <c r="A17098" s="4">
        <v>17093</v>
      </c>
      <c r="B17098" s="3" t="str">
        <f>"201511035127"</f>
        <v>201511035127</v>
      </c>
    </row>
    <row r="17099" spans="1:2" x14ac:dyDescent="0.25">
      <c r="A17099" s="4">
        <v>17094</v>
      </c>
      <c r="B17099" s="3" t="str">
        <f>"201511035131"</f>
        <v>201511035131</v>
      </c>
    </row>
    <row r="17100" spans="1:2" x14ac:dyDescent="0.25">
      <c r="A17100" s="4">
        <v>17095</v>
      </c>
      <c r="B17100" s="3" t="str">
        <f>"201511035167"</f>
        <v>201511035167</v>
      </c>
    </row>
    <row r="17101" spans="1:2" x14ac:dyDescent="0.25">
      <c r="A17101" s="4">
        <v>17096</v>
      </c>
      <c r="B17101" s="3" t="str">
        <f>"201511035178"</f>
        <v>201511035178</v>
      </c>
    </row>
    <row r="17102" spans="1:2" x14ac:dyDescent="0.25">
      <c r="A17102" s="4">
        <v>17097</v>
      </c>
      <c r="B17102" s="3" t="str">
        <f>"201511035181"</f>
        <v>201511035181</v>
      </c>
    </row>
    <row r="17103" spans="1:2" x14ac:dyDescent="0.25">
      <c r="A17103" s="4">
        <v>17098</v>
      </c>
      <c r="B17103" s="3" t="str">
        <f>"201511035203"</f>
        <v>201511035203</v>
      </c>
    </row>
    <row r="17104" spans="1:2" x14ac:dyDescent="0.25">
      <c r="A17104" s="4">
        <v>17099</v>
      </c>
      <c r="B17104" s="3" t="str">
        <f>"201511035209"</f>
        <v>201511035209</v>
      </c>
    </row>
    <row r="17105" spans="1:2" x14ac:dyDescent="0.25">
      <c r="A17105" s="4">
        <v>17100</v>
      </c>
      <c r="B17105" s="3" t="str">
        <f>"201511035221"</f>
        <v>201511035221</v>
      </c>
    </row>
    <row r="17106" spans="1:2" x14ac:dyDescent="0.25">
      <c r="A17106" s="4">
        <v>17101</v>
      </c>
      <c r="B17106" s="3" t="str">
        <f>"201511035234"</f>
        <v>201511035234</v>
      </c>
    </row>
    <row r="17107" spans="1:2" x14ac:dyDescent="0.25">
      <c r="A17107" s="4">
        <v>17102</v>
      </c>
      <c r="B17107" s="3" t="str">
        <f>"201511035241"</f>
        <v>201511035241</v>
      </c>
    </row>
    <row r="17108" spans="1:2" x14ac:dyDescent="0.25">
      <c r="A17108" s="4">
        <v>17103</v>
      </c>
      <c r="B17108" s="3" t="str">
        <f>"201511035250"</f>
        <v>201511035250</v>
      </c>
    </row>
    <row r="17109" spans="1:2" x14ac:dyDescent="0.25">
      <c r="A17109" s="4">
        <v>17104</v>
      </c>
      <c r="B17109" s="3" t="str">
        <f>"201511035255"</f>
        <v>201511035255</v>
      </c>
    </row>
    <row r="17110" spans="1:2" x14ac:dyDescent="0.25">
      <c r="A17110" s="4">
        <v>17105</v>
      </c>
      <c r="B17110" s="3" t="str">
        <f>"201511035279"</f>
        <v>201511035279</v>
      </c>
    </row>
    <row r="17111" spans="1:2" x14ac:dyDescent="0.25">
      <c r="A17111" s="4">
        <v>17106</v>
      </c>
      <c r="B17111" s="3" t="str">
        <f>"201511035285"</f>
        <v>201511035285</v>
      </c>
    </row>
    <row r="17112" spans="1:2" x14ac:dyDescent="0.25">
      <c r="A17112" s="4">
        <v>17107</v>
      </c>
      <c r="B17112" s="3" t="str">
        <f>"201511035300"</f>
        <v>201511035300</v>
      </c>
    </row>
    <row r="17113" spans="1:2" x14ac:dyDescent="0.25">
      <c r="A17113" s="4">
        <v>17108</v>
      </c>
      <c r="B17113" s="3" t="str">
        <f>"201511035353"</f>
        <v>201511035353</v>
      </c>
    </row>
    <row r="17114" spans="1:2" x14ac:dyDescent="0.25">
      <c r="A17114" s="4">
        <v>17109</v>
      </c>
      <c r="B17114" s="3" t="str">
        <f>"201511035358"</f>
        <v>201511035358</v>
      </c>
    </row>
    <row r="17115" spans="1:2" x14ac:dyDescent="0.25">
      <c r="A17115" s="4">
        <v>17110</v>
      </c>
      <c r="B17115" s="3" t="str">
        <f>"201511035362"</f>
        <v>201511035362</v>
      </c>
    </row>
    <row r="17116" spans="1:2" x14ac:dyDescent="0.25">
      <c r="A17116" s="4">
        <v>17111</v>
      </c>
      <c r="B17116" s="3" t="str">
        <f>"201511035427"</f>
        <v>201511035427</v>
      </c>
    </row>
    <row r="17117" spans="1:2" x14ac:dyDescent="0.25">
      <c r="A17117" s="4">
        <v>17112</v>
      </c>
      <c r="B17117" s="3" t="str">
        <f>"201511035437"</f>
        <v>201511035437</v>
      </c>
    </row>
    <row r="17118" spans="1:2" x14ac:dyDescent="0.25">
      <c r="A17118" s="4">
        <v>17113</v>
      </c>
      <c r="B17118" s="3" t="str">
        <f>"201511035440"</f>
        <v>201511035440</v>
      </c>
    </row>
    <row r="17119" spans="1:2" x14ac:dyDescent="0.25">
      <c r="A17119" s="4">
        <v>17114</v>
      </c>
      <c r="B17119" s="3" t="str">
        <f>"201511035470"</f>
        <v>201511035470</v>
      </c>
    </row>
    <row r="17120" spans="1:2" x14ac:dyDescent="0.25">
      <c r="A17120" s="4">
        <v>17115</v>
      </c>
      <c r="B17120" s="3" t="str">
        <f>"201511035481"</f>
        <v>201511035481</v>
      </c>
    </row>
    <row r="17121" spans="1:2" x14ac:dyDescent="0.25">
      <c r="A17121" s="4">
        <v>17116</v>
      </c>
      <c r="B17121" s="3" t="str">
        <f>"201511035491"</f>
        <v>201511035491</v>
      </c>
    </row>
    <row r="17122" spans="1:2" x14ac:dyDescent="0.25">
      <c r="A17122" s="4">
        <v>17117</v>
      </c>
      <c r="B17122" s="3" t="str">
        <f>"201511035501"</f>
        <v>201511035501</v>
      </c>
    </row>
    <row r="17123" spans="1:2" x14ac:dyDescent="0.25">
      <c r="A17123" s="4">
        <v>17118</v>
      </c>
      <c r="B17123" s="3" t="str">
        <f>"201511035538"</f>
        <v>201511035538</v>
      </c>
    </row>
    <row r="17124" spans="1:2" x14ac:dyDescent="0.25">
      <c r="A17124" s="4">
        <v>17119</v>
      </c>
      <c r="B17124" s="3" t="str">
        <f>"201511035581"</f>
        <v>201511035581</v>
      </c>
    </row>
    <row r="17125" spans="1:2" x14ac:dyDescent="0.25">
      <c r="A17125" s="4">
        <v>17120</v>
      </c>
      <c r="B17125" s="3" t="str">
        <f>"201511035585"</f>
        <v>201511035585</v>
      </c>
    </row>
    <row r="17126" spans="1:2" x14ac:dyDescent="0.25">
      <c r="A17126" s="4">
        <v>17121</v>
      </c>
      <c r="B17126" s="3" t="str">
        <f>"201511035586"</f>
        <v>201511035586</v>
      </c>
    </row>
    <row r="17127" spans="1:2" x14ac:dyDescent="0.25">
      <c r="A17127" s="4">
        <v>17122</v>
      </c>
      <c r="B17127" s="3" t="str">
        <f>"201511035656"</f>
        <v>201511035656</v>
      </c>
    </row>
    <row r="17128" spans="1:2" x14ac:dyDescent="0.25">
      <c r="A17128" s="4">
        <v>17123</v>
      </c>
      <c r="B17128" s="3" t="str">
        <f>"201511035667"</f>
        <v>201511035667</v>
      </c>
    </row>
    <row r="17129" spans="1:2" x14ac:dyDescent="0.25">
      <c r="A17129" s="4">
        <v>17124</v>
      </c>
      <c r="B17129" s="3" t="str">
        <f>"201511035673"</f>
        <v>201511035673</v>
      </c>
    </row>
    <row r="17130" spans="1:2" x14ac:dyDescent="0.25">
      <c r="A17130" s="4">
        <v>17125</v>
      </c>
      <c r="B17130" s="3" t="str">
        <f>"201511035675"</f>
        <v>201511035675</v>
      </c>
    </row>
    <row r="17131" spans="1:2" x14ac:dyDescent="0.25">
      <c r="A17131" s="4">
        <v>17126</v>
      </c>
      <c r="B17131" s="3" t="str">
        <f>"201511035688"</f>
        <v>201511035688</v>
      </c>
    </row>
    <row r="17132" spans="1:2" x14ac:dyDescent="0.25">
      <c r="A17132" s="4">
        <v>17127</v>
      </c>
      <c r="B17132" s="3" t="str">
        <f>"201511035720"</f>
        <v>201511035720</v>
      </c>
    </row>
    <row r="17133" spans="1:2" x14ac:dyDescent="0.25">
      <c r="A17133" s="4">
        <v>17128</v>
      </c>
      <c r="B17133" s="3" t="str">
        <f>"201511035747"</f>
        <v>201511035747</v>
      </c>
    </row>
    <row r="17134" spans="1:2" x14ac:dyDescent="0.25">
      <c r="A17134" s="4">
        <v>17129</v>
      </c>
      <c r="B17134" s="3" t="str">
        <f>"201511035751"</f>
        <v>201511035751</v>
      </c>
    </row>
    <row r="17135" spans="1:2" x14ac:dyDescent="0.25">
      <c r="A17135" s="4">
        <v>17130</v>
      </c>
      <c r="B17135" s="3" t="str">
        <f>"201511035762"</f>
        <v>201511035762</v>
      </c>
    </row>
    <row r="17136" spans="1:2" x14ac:dyDescent="0.25">
      <c r="A17136" s="4">
        <v>17131</v>
      </c>
      <c r="B17136" s="3" t="str">
        <f>"201511035770"</f>
        <v>201511035770</v>
      </c>
    </row>
    <row r="17137" spans="1:2" x14ac:dyDescent="0.25">
      <c r="A17137" s="4">
        <v>17132</v>
      </c>
      <c r="B17137" s="3" t="str">
        <f>"201511035773"</f>
        <v>201511035773</v>
      </c>
    </row>
    <row r="17138" spans="1:2" x14ac:dyDescent="0.25">
      <c r="A17138" s="4">
        <v>17133</v>
      </c>
      <c r="B17138" s="3" t="str">
        <f>"201511035774"</f>
        <v>201511035774</v>
      </c>
    </row>
    <row r="17139" spans="1:2" x14ac:dyDescent="0.25">
      <c r="A17139" s="4">
        <v>17134</v>
      </c>
      <c r="B17139" s="3" t="str">
        <f>"201511035775"</f>
        <v>201511035775</v>
      </c>
    </row>
    <row r="17140" spans="1:2" x14ac:dyDescent="0.25">
      <c r="A17140" s="4">
        <v>17135</v>
      </c>
      <c r="B17140" s="3" t="str">
        <f>"201511035799"</f>
        <v>201511035799</v>
      </c>
    </row>
    <row r="17141" spans="1:2" x14ac:dyDescent="0.25">
      <c r="A17141" s="4">
        <v>17136</v>
      </c>
      <c r="B17141" s="3" t="str">
        <f>"201511035851"</f>
        <v>201511035851</v>
      </c>
    </row>
    <row r="17142" spans="1:2" x14ac:dyDescent="0.25">
      <c r="A17142" s="4">
        <v>17137</v>
      </c>
      <c r="B17142" s="3" t="str">
        <f>"201511035854"</f>
        <v>201511035854</v>
      </c>
    </row>
    <row r="17143" spans="1:2" x14ac:dyDescent="0.25">
      <c r="A17143" s="4">
        <v>17138</v>
      </c>
      <c r="B17143" s="3" t="str">
        <f>"201511035870"</f>
        <v>201511035870</v>
      </c>
    </row>
    <row r="17144" spans="1:2" x14ac:dyDescent="0.25">
      <c r="A17144" s="4">
        <v>17139</v>
      </c>
      <c r="B17144" s="3" t="str">
        <f>"201511035897"</f>
        <v>201511035897</v>
      </c>
    </row>
    <row r="17145" spans="1:2" x14ac:dyDescent="0.25">
      <c r="A17145" s="4">
        <v>17140</v>
      </c>
      <c r="B17145" s="3" t="str">
        <f>"201511035912"</f>
        <v>201511035912</v>
      </c>
    </row>
    <row r="17146" spans="1:2" x14ac:dyDescent="0.25">
      <c r="A17146" s="4">
        <v>17141</v>
      </c>
      <c r="B17146" s="3" t="str">
        <f>"201511035939"</f>
        <v>201511035939</v>
      </c>
    </row>
    <row r="17147" spans="1:2" x14ac:dyDescent="0.25">
      <c r="A17147" s="4">
        <v>17142</v>
      </c>
      <c r="B17147" s="3" t="str">
        <f>"201511035967"</f>
        <v>201511035967</v>
      </c>
    </row>
    <row r="17148" spans="1:2" x14ac:dyDescent="0.25">
      <c r="A17148" s="4">
        <v>17143</v>
      </c>
      <c r="B17148" s="3" t="str">
        <f>"201511035973"</f>
        <v>201511035973</v>
      </c>
    </row>
    <row r="17149" spans="1:2" x14ac:dyDescent="0.25">
      <c r="A17149" s="4">
        <v>17144</v>
      </c>
      <c r="B17149" s="3" t="str">
        <f>"201511035997"</f>
        <v>201511035997</v>
      </c>
    </row>
    <row r="17150" spans="1:2" x14ac:dyDescent="0.25">
      <c r="A17150" s="4">
        <v>17145</v>
      </c>
      <c r="B17150" s="3" t="str">
        <f>"201511035998"</f>
        <v>201511035998</v>
      </c>
    </row>
    <row r="17151" spans="1:2" x14ac:dyDescent="0.25">
      <c r="A17151" s="4">
        <v>17146</v>
      </c>
      <c r="B17151" s="3" t="str">
        <f>"201511036000"</f>
        <v>201511036000</v>
      </c>
    </row>
    <row r="17152" spans="1:2" x14ac:dyDescent="0.25">
      <c r="A17152" s="4">
        <v>17147</v>
      </c>
      <c r="B17152" s="3" t="str">
        <f>"201511036017"</f>
        <v>201511036017</v>
      </c>
    </row>
    <row r="17153" spans="1:2" x14ac:dyDescent="0.25">
      <c r="A17153" s="4">
        <v>17148</v>
      </c>
      <c r="B17153" s="3" t="str">
        <f>"201511036022"</f>
        <v>201511036022</v>
      </c>
    </row>
    <row r="17154" spans="1:2" x14ac:dyDescent="0.25">
      <c r="A17154" s="4">
        <v>17149</v>
      </c>
      <c r="B17154" s="3" t="str">
        <f>"201511036023"</f>
        <v>201511036023</v>
      </c>
    </row>
    <row r="17155" spans="1:2" x14ac:dyDescent="0.25">
      <c r="A17155" s="4">
        <v>17150</v>
      </c>
      <c r="B17155" s="3" t="str">
        <f>"201511036035"</f>
        <v>201511036035</v>
      </c>
    </row>
    <row r="17156" spans="1:2" x14ac:dyDescent="0.25">
      <c r="A17156" s="4">
        <v>17151</v>
      </c>
      <c r="B17156" s="3" t="str">
        <f>"201511036040"</f>
        <v>201511036040</v>
      </c>
    </row>
    <row r="17157" spans="1:2" x14ac:dyDescent="0.25">
      <c r="A17157" s="4">
        <v>17152</v>
      </c>
      <c r="B17157" s="3" t="str">
        <f>"201511036056"</f>
        <v>201511036056</v>
      </c>
    </row>
    <row r="17158" spans="1:2" x14ac:dyDescent="0.25">
      <c r="A17158" s="4">
        <v>17153</v>
      </c>
      <c r="B17158" s="3" t="str">
        <f>"201511036059"</f>
        <v>201511036059</v>
      </c>
    </row>
    <row r="17159" spans="1:2" x14ac:dyDescent="0.25">
      <c r="A17159" s="4">
        <v>17154</v>
      </c>
      <c r="B17159" s="3" t="str">
        <f>"201511036060"</f>
        <v>201511036060</v>
      </c>
    </row>
    <row r="17160" spans="1:2" x14ac:dyDescent="0.25">
      <c r="A17160" s="4">
        <v>17155</v>
      </c>
      <c r="B17160" s="3" t="str">
        <f>"201511036073"</f>
        <v>201511036073</v>
      </c>
    </row>
    <row r="17161" spans="1:2" x14ac:dyDescent="0.25">
      <c r="A17161" s="4">
        <v>17156</v>
      </c>
      <c r="B17161" s="3" t="str">
        <f>"201511036076"</f>
        <v>201511036076</v>
      </c>
    </row>
    <row r="17162" spans="1:2" x14ac:dyDescent="0.25">
      <c r="A17162" s="4">
        <v>17157</v>
      </c>
      <c r="B17162" s="3" t="str">
        <f>"201511036086"</f>
        <v>201511036086</v>
      </c>
    </row>
    <row r="17163" spans="1:2" x14ac:dyDescent="0.25">
      <c r="A17163" s="4">
        <v>17158</v>
      </c>
      <c r="B17163" s="3" t="str">
        <f>"201511036094"</f>
        <v>201511036094</v>
      </c>
    </row>
    <row r="17164" spans="1:2" x14ac:dyDescent="0.25">
      <c r="A17164" s="4">
        <v>17159</v>
      </c>
      <c r="B17164" s="3" t="str">
        <f>"201511036099"</f>
        <v>201511036099</v>
      </c>
    </row>
    <row r="17165" spans="1:2" x14ac:dyDescent="0.25">
      <c r="A17165" s="4">
        <v>17160</v>
      </c>
      <c r="B17165" s="3" t="str">
        <f>"201511036141"</f>
        <v>201511036141</v>
      </c>
    </row>
    <row r="17166" spans="1:2" x14ac:dyDescent="0.25">
      <c r="A17166" s="4">
        <v>17161</v>
      </c>
      <c r="B17166" s="3" t="str">
        <f>"201511036152"</f>
        <v>201511036152</v>
      </c>
    </row>
    <row r="17167" spans="1:2" x14ac:dyDescent="0.25">
      <c r="A17167" s="4">
        <v>17162</v>
      </c>
      <c r="B17167" s="3" t="str">
        <f>"201511036153"</f>
        <v>201511036153</v>
      </c>
    </row>
    <row r="17168" spans="1:2" x14ac:dyDescent="0.25">
      <c r="A17168" s="4">
        <v>17163</v>
      </c>
      <c r="B17168" s="3" t="str">
        <f>"201511036212"</f>
        <v>201511036212</v>
      </c>
    </row>
    <row r="17169" spans="1:2" x14ac:dyDescent="0.25">
      <c r="A17169" s="4">
        <v>17164</v>
      </c>
      <c r="B17169" s="3" t="str">
        <f>"201511036226"</f>
        <v>201511036226</v>
      </c>
    </row>
    <row r="17170" spans="1:2" x14ac:dyDescent="0.25">
      <c r="A17170" s="4">
        <v>17165</v>
      </c>
      <c r="B17170" s="3" t="str">
        <f>"201511036236"</f>
        <v>201511036236</v>
      </c>
    </row>
    <row r="17171" spans="1:2" x14ac:dyDescent="0.25">
      <c r="A17171" s="4">
        <v>17166</v>
      </c>
      <c r="B17171" s="3" t="str">
        <f>"201511036239"</f>
        <v>201511036239</v>
      </c>
    </row>
    <row r="17172" spans="1:2" x14ac:dyDescent="0.25">
      <c r="A17172" s="4">
        <v>17167</v>
      </c>
      <c r="B17172" s="3" t="str">
        <f>"201511036242"</f>
        <v>201511036242</v>
      </c>
    </row>
    <row r="17173" spans="1:2" x14ac:dyDescent="0.25">
      <c r="A17173" s="4">
        <v>17168</v>
      </c>
      <c r="B17173" s="3" t="str">
        <f>"201511036247"</f>
        <v>201511036247</v>
      </c>
    </row>
    <row r="17174" spans="1:2" x14ac:dyDescent="0.25">
      <c r="A17174" s="4">
        <v>17169</v>
      </c>
      <c r="B17174" s="3" t="str">
        <f>"201511036252"</f>
        <v>201511036252</v>
      </c>
    </row>
    <row r="17175" spans="1:2" x14ac:dyDescent="0.25">
      <c r="A17175" s="4">
        <v>17170</v>
      </c>
      <c r="B17175" s="3" t="str">
        <f>"201511036256"</f>
        <v>201511036256</v>
      </c>
    </row>
    <row r="17176" spans="1:2" x14ac:dyDescent="0.25">
      <c r="A17176" s="4">
        <v>17171</v>
      </c>
      <c r="B17176" s="3" t="str">
        <f>"201511036260"</f>
        <v>201511036260</v>
      </c>
    </row>
    <row r="17177" spans="1:2" x14ac:dyDescent="0.25">
      <c r="A17177" s="4">
        <v>17172</v>
      </c>
      <c r="B17177" s="3" t="str">
        <f>"201511036263"</f>
        <v>201511036263</v>
      </c>
    </row>
    <row r="17178" spans="1:2" x14ac:dyDescent="0.25">
      <c r="A17178" s="4">
        <v>17173</v>
      </c>
      <c r="B17178" s="3" t="str">
        <f>"201511036264"</f>
        <v>201511036264</v>
      </c>
    </row>
    <row r="17179" spans="1:2" x14ac:dyDescent="0.25">
      <c r="A17179" s="4">
        <v>17174</v>
      </c>
      <c r="B17179" s="3" t="str">
        <f>"201511036311"</f>
        <v>201511036311</v>
      </c>
    </row>
    <row r="17180" spans="1:2" x14ac:dyDescent="0.25">
      <c r="A17180" s="4">
        <v>17175</v>
      </c>
      <c r="B17180" s="3" t="str">
        <f>"201511036318"</f>
        <v>201511036318</v>
      </c>
    </row>
    <row r="17181" spans="1:2" x14ac:dyDescent="0.25">
      <c r="A17181" s="4">
        <v>17176</v>
      </c>
      <c r="B17181" s="3" t="str">
        <f>"201511036319"</f>
        <v>201511036319</v>
      </c>
    </row>
    <row r="17182" spans="1:2" x14ac:dyDescent="0.25">
      <c r="A17182" s="4">
        <v>17177</v>
      </c>
      <c r="B17182" s="3" t="str">
        <f>"201511036340"</f>
        <v>201511036340</v>
      </c>
    </row>
    <row r="17183" spans="1:2" x14ac:dyDescent="0.25">
      <c r="A17183" s="4">
        <v>17178</v>
      </c>
      <c r="B17183" s="3" t="str">
        <f>"201511036346"</f>
        <v>201511036346</v>
      </c>
    </row>
    <row r="17184" spans="1:2" x14ac:dyDescent="0.25">
      <c r="A17184" s="4">
        <v>17179</v>
      </c>
      <c r="B17184" s="3" t="str">
        <f>"201511036364"</f>
        <v>201511036364</v>
      </c>
    </row>
    <row r="17185" spans="1:2" x14ac:dyDescent="0.25">
      <c r="A17185" s="4">
        <v>17180</v>
      </c>
      <c r="B17185" s="3" t="str">
        <f>"201511036374"</f>
        <v>201511036374</v>
      </c>
    </row>
    <row r="17186" spans="1:2" x14ac:dyDescent="0.25">
      <c r="A17186" s="4">
        <v>17181</v>
      </c>
      <c r="B17186" s="3" t="str">
        <f>"201511036380"</f>
        <v>201511036380</v>
      </c>
    </row>
    <row r="17187" spans="1:2" x14ac:dyDescent="0.25">
      <c r="A17187" s="4">
        <v>17182</v>
      </c>
      <c r="B17187" s="3" t="str">
        <f>"201511036409"</f>
        <v>201511036409</v>
      </c>
    </row>
    <row r="17188" spans="1:2" x14ac:dyDescent="0.25">
      <c r="A17188" s="4">
        <v>17183</v>
      </c>
      <c r="B17188" s="3" t="str">
        <f>"201511036414"</f>
        <v>201511036414</v>
      </c>
    </row>
    <row r="17189" spans="1:2" x14ac:dyDescent="0.25">
      <c r="A17189" s="4">
        <v>17184</v>
      </c>
      <c r="B17189" s="3" t="str">
        <f>"201511036436"</f>
        <v>201511036436</v>
      </c>
    </row>
    <row r="17190" spans="1:2" x14ac:dyDescent="0.25">
      <c r="A17190" s="4">
        <v>17185</v>
      </c>
      <c r="B17190" s="3" t="str">
        <f>"201511036442"</f>
        <v>201511036442</v>
      </c>
    </row>
    <row r="17191" spans="1:2" x14ac:dyDescent="0.25">
      <c r="A17191" s="4">
        <v>17186</v>
      </c>
      <c r="B17191" s="3" t="str">
        <f>"201511036463"</f>
        <v>201511036463</v>
      </c>
    </row>
    <row r="17192" spans="1:2" x14ac:dyDescent="0.25">
      <c r="A17192" s="4">
        <v>17187</v>
      </c>
      <c r="B17192" s="3" t="str">
        <f>"201511036488"</f>
        <v>201511036488</v>
      </c>
    </row>
    <row r="17193" spans="1:2" x14ac:dyDescent="0.25">
      <c r="A17193" s="4">
        <v>17188</v>
      </c>
      <c r="B17193" s="3" t="str">
        <f>"201511036489"</f>
        <v>201511036489</v>
      </c>
    </row>
    <row r="17194" spans="1:2" x14ac:dyDescent="0.25">
      <c r="A17194" s="4">
        <v>17189</v>
      </c>
      <c r="B17194" s="3" t="str">
        <f>"201511036516"</f>
        <v>201511036516</v>
      </c>
    </row>
    <row r="17195" spans="1:2" x14ac:dyDescent="0.25">
      <c r="A17195" s="4">
        <v>17190</v>
      </c>
      <c r="B17195" s="3" t="str">
        <f>"201511036529"</f>
        <v>201511036529</v>
      </c>
    </row>
    <row r="17196" spans="1:2" x14ac:dyDescent="0.25">
      <c r="A17196" s="4">
        <v>17191</v>
      </c>
      <c r="B17196" s="3" t="str">
        <f>"201511036540"</f>
        <v>201511036540</v>
      </c>
    </row>
    <row r="17197" spans="1:2" x14ac:dyDescent="0.25">
      <c r="A17197" s="4">
        <v>17192</v>
      </c>
      <c r="B17197" s="3" t="str">
        <f>"201511036555"</f>
        <v>201511036555</v>
      </c>
    </row>
    <row r="17198" spans="1:2" x14ac:dyDescent="0.25">
      <c r="A17198" s="4">
        <v>17193</v>
      </c>
      <c r="B17198" s="3" t="str">
        <f>"201511036564"</f>
        <v>201511036564</v>
      </c>
    </row>
    <row r="17199" spans="1:2" x14ac:dyDescent="0.25">
      <c r="A17199" s="4">
        <v>17194</v>
      </c>
      <c r="B17199" s="3" t="str">
        <f>"201511036591"</f>
        <v>201511036591</v>
      </c>
    </row>
    <row r="17200" spans="1:2" x14ac:dyDescent="0.25">
      <c r="A17200" s="4">
        <v>17195</v>
      </c>
      <c r="B17200" s="3" t="str">
        <f>"201511036599"</f>
        <v>201511036599</v>
      </c>
    </row>
    <row r="17201" spans="1:2" x14ac:dyDescent="0.25">
      <c r="A17201" s="4">
        <v>17196</v>
      </c>
      <c r="B17201" s="3" t="str">
        <f>"201511036611"</f>
        <v>201511036611</v>
      </c>
    </row>
    <row r="17202" spans="1:2" x14ac:dyDescent="0.25">
      <c r="A17202" s="4">
        <v>17197</v>
      </c>
      <c r="B17202" s="3" t="str">
        <f>"201511036673"</f>
        <v>201511036673</v>
      </c>
    </row>
    <row r="17203" spans="1:2" x14ac:dyDescent="0.25">
      <c r="A17203" s="4">
        <v>17198</v>
      </c>
      <c r="B17203" s="3" t="str">
        <f>"201511036676"</f>
        <v>201511036676</v>
      </c>
    </row>
    <row r="17204" spans="1:2" x14ac:dyDescent="0.25">
      <c r="A17204" s="4">
        <v>17199</v>
      </c>
      <c r="B17204" s="3" t="str">
        <f>"201511036686"</f>
        <v>201511036686</v>
      </c>
    </row>
    <row r="17205" spans="1:2" x14ac:dyDescent="0.25">
      <c r="A17205" s="4">
        <v>17200</v>
      </c>
      <c r="B17205" s="3" t="str">
        <f>"201511036691"</f>
        <v>201511036691</v>
      </c>
    </row>
    <row r="17206" spans="1:2" x14ac:dyDescent="0.25">
      <c r="A17206" s="4">
        <v>17201</v>
      </c>
      <c r="B17206" s="3" t="str">
        <f>"201511036699"</f>
        <v>201511036699</v>
      </c>
    </row>
    <row r="17207" spans="1:2" x14ac:dyDescent="0.25">
      <c r="A17207" s="4">
        <v>17202</v>
      </c>
      <c r="B17207" s="3" t="str">
        <f>"201511036710"</f>
        <v>201511036710</v>
      </c>
    </row>
    <row r="17208" spans="1:2" x14ac:dyDescent="0.25">
      <c r="A17208" s="4">
        <v>17203</v>
      </c>
      <c r="B17208" s="3" t="str">
        <f>"201511036717"</f>
        <v>201511036717</v>
      </c>
    </row>
    <row r="17209" spans="1:2" x14ac:dyDescent="0.25">
      <c r="A17209" s="4">
        <v>17204</v>
      </c>
      <c r="B17209" s="3" t="str">
        <f>"201511036728"</f>
        <v>201511036728</v>
      </c>
    </row>
    <row r="17210" spans="1:2" x14ac:dyDescent="0.25">
      <c r="A17210" s="4">
        <v>17205</v>
      </c>
      <c r="B17210" s="3" t="str">
        <f>"201511036743"</f>
        <v>201511036743</v>
      </c>
    </row>
    <row r="17211" spans="1:2" x14ac:dyDescent="0.25">
      <c r="A17211" s="4">
        <v>17206</v>
      </c>
      <c r="B17211" s="3" t="str">
        <f>"201511036746"</f>
        <v>201511036746</v>
      </c>
    </row>
    <row r="17212" spans="1:2" x14ac:dyDescent="0.25">
      <c r="A17212" s="4">
        <v>17207</v>
      </c>
      <c r="B17212" s="3" t="str">
        <f>"201511036748"</f>
        <v>201511036748</v>
      </c>
    </row>
    <row r="17213" spans="1:2" x14ac:dyDescent="0.25">
      <c r="A17213" s="4">
        <v>17208</v>
      </c>
      <c r="B17213" s="3" t="str">
        <f>"201511036757"</f>
        <v>201511036757</v>
      </c>
    </row>
    <row r="17214" spans="1:2" x14ac:dyDescent="0.25">
      <c r="A17214" s="4">
        <v>17209</v>
      </c>
      <c r="B17214" s="3" t="str">
        <f>"201511036765"</f>
        <v>201511036765</v>
      </c>
    </row>
    <row r="17215" spans="1:2" x14ac:dyDescent="0.25">
      <c r="A17215" s="4">
        <v>17210</v>
      </c>
      <c r="B17215" s="3" t="str">
        <f>"201511036779"</f>
        <v>201511036779</v>
      </c>
    </row>
    <row r="17216" spans="1:2" x14ac:dyDescent="0.25">
      <c r="A17216" s="4">
        <v>17211</v>
      </c>
      <c r="B17216" s="3" t="str">
        <f>"201511036783"</f>
        <v>201511036783</v>
      </c>
    </row>
    <row r="17217" spans="1:2" x14ac:dyDescent="0.25">
      <c r="A17217" s="4">
        <v>17212</v>
      </c>
      <c r="B17217" s="3" t="str">
        <f>"201511036806"</f>
        <v>201511036806</v>
      </c>
    </row>
    <row r="17218" spans="1:2" x14ac:dyDescent="0.25">
      <c r="A17218" s="4">
        <v>17213</v>
      </c>
      <c r="B17218" s="3" t="str">
        <f>"201511036812"</f>
        <v>201511036812</v>
      </c>
    </row>
    <row r="17219" spans="1:2" x14ac:dyDescent="0.25">
      <c r="A17219" s="4">
        <v>17214</v>
      </c>
      <c r="B17219" s="3" t="str">
        <f>"201511036816"</f>
        <v>201511036816</v>
      </c>
    </row>
    <row r="17220" spans="1:2" x14ac:dyDescent="0.25">
      <c r="A17220" s="4">
        <v>17215</v>
      </c>
      <c r="B17220" s="3" t="str">
        <f>"201511036821"</f>
        <v>201511036821</v>
      </c>
    </row>
    <row r="17221" spans="1:2" x14ac:dyDescent="0.25">
      <c r="A17221" s="4">
        <v>17216</v>
      </c>
      <c r="B17221" s="3" t="str">
        <f>"201511036846"</f>
        <v>201511036846</v>
      </c>
    </row>
    <row r="17222" spans="1:2" x14ac:dyDescent="0.25">
      <c r="A17222" s="4">
        <v>17217</v>
      </c>
      <c r="B17222" s="3" t="str">
        <f>"201511036864"</f>
        <v>201511036864</v>
      </c>
    </row>
    <row r="17223" spans="1:2" x14ac:dyDescent="0.25">
      <c r="A17223" s="4">
        <v>17218</v>
      </c>
      <c r="B17223" s="3" t="str">
        <f>"201511036888"</f>
        <v>201511036888</v>
      </c>
    </row>
    <row r="17224" spans="1:2" x14ac:dyDescent="0.25">
      <c r="A17224" s="4">
        <v>17219</v>
      </c>
      <c r="B17224" s="3" t="str">
        <f>"201511036915"</f>
        <v>201511036915</v>
      </c>
    </row>
    <row r="17225" spans="1:2" x14ac:dyDescent="0.25">
      <c r="A17225" s="4">
        <v>17220</v>
      </c>
      <c r="B17225" s="3" t="str">
        <f>"201511036922"</f>
        <v>201511036922</v>
      </c>
    </row>
    <row r="17226" spans="1:2" x14ac:dyDescent="0.25">
      <c r="A17226" s="4">
        <v>17221</v>
      </c>
      <c r="B17226" s="3" t="str">
        <f>"201511036926"</f>
        <v>201511036926</v>
      </c>
    </row>
    <row r="17227" spans="1:2" x14ac:dyDescent="0.25">
      <c r="A17227" s="4">
        <v>17222</v>
      </c>
      <c r="B17227" s="3" t="str">
        <f>"201511036939"</f>
        <v>201511036939</v>
      </c>
    </row>
    <row r="17228" spans="1:2" x14ac:dyDescent="0.25">
      <c r="A17228" s="4">
        <v>17223</v>
      </c>
      <c r="B17228" s="3" t="str">
        <f>"201511036941"</f>
        <v>201511036941</v>
      </c>
    </row>
    <row r="17229" spans="1:2" x14ac:dyDescent="0.25">
      <c r="A17229" s="4">
        <v>17224</v>
      </c>
      <c r="B17229" s="3" t="str">
        <f>"201511036948"</f>
        <v>201511036948</v>
      </c>
    </row>
    <row r="17230" spans="1:2" x14ac:dyDescent="0.25">
      <c r="A17230" s="4">
        <v>17225</v>
      </c>
      <c r="B17230" s="3" t="str">
        <f>"201511036973"</f>
        <v>201511036973</v>
      </c>
    </row>
    <row r="17231" spans="1:2" x14ac:dyDescent="0.25">
      <c r="A17231" s="4">
        <v>17226</v>
      </c>
      <c r="B17231" s="3" t="str">
        <f>"201511036976"</f>
        <v>201511036976</v>
      </c>
    </row>
    <row r="17232" spans="1:2" x14ac:dyDescent="0.25">
      <c r="A17232" s="4">
        <v>17227</v>
      </c>
      <c r="B17232" s="3" t="str">
        <f>"201511036990"</f>
        <v>201511036990</v>
      </c>
    </row>
    <row r="17233" spans="1:2" x14ac:dyDescent="0.25">
      <c r="A17233" s="4">
        <v>17228</v>
      </c>
      <c r="B17233" s="3" t="str">
        <f>"201511037014"</f>
        <v>201511037014</v>
      </c>
    </row>
    <row r="17234" spans="1:2" x14ac:dyDescent="0.25">
      <c r="A17234" s="4">
        <v>17229</v>
      </c>
      <c r="B17234" s="3" t="str">
        <f>"201511037035"</f>
        <v>201511037035</v>
      </c>
    </row>
    <row r="17235" spans="1:2" x14ac:dyDescent="0.25">
      <c r="A17235" s="4">
        <v>17230</v>
      </c>
      <c r="B17235" s="3" t="str">
        <f>"201511037044"</f>
        <v>201511037044</v>
      </c>
    </row>
    <row r="17236" spans="1:2" x14ac:dyDescent="0.25">
      <c r="A17236" s="4">
        <v>17231</v>
      </c>
      <c r="B17236" s="3" t="str">
        <f>"201511037049"</f>
        <v>201511037049</v>
      </c>
    </row>
    <row r="17237" spans="1:2" x14ac:dyDescent="0.25">
      <c r="A17237" s="4">
        <v>17232</v>
      </c>
      <c r="B17237" s="3" t="str">
        <f>"201511037053"</f>
        <v>201511037053</v>
      </c>
    </row>
    <row r="17238" spans="1:2" x14ac:dyDescent="0.25">
      <c r="A17238" s="4">
        <v>17233</v>
      </c>
      <c r="B17238" s="3" t="str">
        <f>"201511037068"</f>
        <v>201511037068</v>
      </c>
    </row>
    <row r="17239" spans="1:2" x14ac:dyDescent="0.25">
      <c r="A17239" s="4">
        <v>17234</v>
      </c>
      <c r="B17239" s="3" t="str">
        <f>"201511037072"</f>
        <v>201511037072</v>
      </c>
    </row>
    <row r="17240" spans="1:2" x14ac:dyDescent="0.25">
      <c r="A17240" s="4">
        <v>17235</v>
      </c>
      <c r="B17240" s="3" t="str">
        <f>"201511037079"</f>
        <v>201511037079</v>
      </c>
    </row>
    <row r="17241" spans="1:2" x14ac:dyDescent="0.25">
      <c r="A17241" s="4">
        <v>17236</v>
      </c>
      <c r="B17241" s="3" t="str">
        <f>"201511037081"</f>
        <v>201511037081</v>
      </c>
    </row>
    <row r="17242" spans="1:2" x14ac:dyDescent="0.25">
      <c r="A17242" s="4">
        <v>17237</v>
      </c>
      <c r="B17242" s="3" t="str">
        <f>"201511037096"</f>
        <v>201511037096</v>
      </c>
    </row>
    <row r="17243" spans="1:2" x14ac:dyDescent="0.25">
      <c r="A17243" s="4">
        <v>17238</v>
      </c>
      <c r="B17243" s="3" t="str">
        <f>"201511037100"</f>
        <v>201511037100</v>
      </c>
    </row>
    <row r="17244" spans="1:2" x14ac:dyDescent="0.25">
      <c r="A17244" s="4">
        <v>17239</v>
      </c>
      <c r="B17244" s="3" t="str">
        <f>"201511037103"</f>
        <v>201511037103</v>
      </c>
    </row>
    <row r="17245" spans="1:2" x14ac:dyDescent="0.25">
      <c r="A17245" s="4">
        <v>17240</v>
      </c>
      <c r="B17245" s="3" t="str">
        <f>"201511037119"</f>
        <v>201511037119</v>
      </c>
    </row>
    <row r="17246" spans="1:2" x14ac:dyDescent="0.25">
      <c r="A17246" s="4">
        <v>17241</v>
      </c>
      <c r="B17246" s="3" t="str">
        <f>"201511037123"</f>
        <v>201511037123</v>
      </c>
    </row>
    <row r="17247" spans="1:2" x14ac:dyDescent="0.25">
      <c r="A17247" s="4">
        <v>17242</v>
      </c>
      <c r="B17247" s="3" t="str">
        <f>"201511037158"</f>
        <v>201511037158</v>
      </c>
    </row>
    <row r="17248" spans="1:2" x14ac:dyDescent="0.25">
      <c r="A17248" s="4">
        <v>17243</v>
      </c>
      <c r="B17248" s="3" t="str">
        <f>"201511037168"</f>
        <v>201511037168</v>
      </c>
    </row>
    <row r="17249" spans="1:2" x14ac:dyDescent="0.25">
      <c r="A17249" s="4">
        <v>17244</v>
      </c>
      <c r="B17249" s="3" t="str">
        <f>"201511037184"</f>
        <v>201511037184</v>
      </c>
    </row>
    <row r="17250" spans="1:2" x14ac:dyDescent="0.25">
      <c r="A17250" s="4">
        <v>17245</v>
      </c>
      <c r="B17250" s="3" t="str">
        <f>"201511037207"</f>
        <v>201511037207</v>
      </c>
    </row>
    <row r="17251" spans="1:2" x14ac:dyDescent="0.25">
      <c r="A17251" s="4">
        <v>17246</v>
      </c>
      <c r="B17251" s="3" t="str">
        <f>"201511037219"</f>
        <v>201511037219</v>
      </c>
    </row>
    <row r="17252" spans="1:2" x14ac:dyDescent="0.25">
      <c r="A17252" s="4">
        <v>17247</v>
      </c>
      <c r="B17252" s="3" t="str">
        <f>"201511037283"</f>
        <v>201511037283</v>
      </c>
    </row>
    <row r="17253" spans="1:2" x14ac:dyDescent="0.25">
      <c r="A17253" s="4">
        <v>17248</v>
      </c>
      <c r="B17253" s="3" t="str">
        <f>"201511037289"</f>
        <v>201511037289</v>
      </c>
    </row>
    <row r="17254" spans="1:2" x14ac:dyDescent="0.25">
      <c r="A17254" s="4">
        <v>17249</v>
      </c>
      <c r="B17254" s="3" t="str">
        <f>"201511037290"</f>
        <v>201511037290</v>
      </c>
    </row>
    <row r="17255" spans="1:2" x14ac:dyDescent="0.25">
      <c r="A17255" s="4">
        <v>17250</v>
      </c>
      <c r="B17255" s="3" t="str">
        <f>"201511037308"</f>
        <v>201511037308</v>
      </c>
    </row>
    <row r="17256" spans="1:2" x14ac:dyDescent="0.25">
      <c r="A17256" s="4">
        <v>17251</v>
      </c>
      <c r="B17256" s="3" t="str">
        <f>"201511037315"</f>
        <v>201511037315</v>
      </c>
    </row>
    <row r="17257" spans="1:2" x14ac:dyDescent="0.25">
      <c r="A17257" s="4">
        <v>17252</v>
      </c>
      <c r="B17257" s="3" t="str">
        <f>"201511037317"</f>
        <v>201511037317</v>
      </c>
    </row>
    <row r="17258" spans="1:2" x14ac:dyDescent="0.25">
      <c r="A17258" s="4">
        <v>17253</v>
      </c>
      <c r="B17258" s="3" t="str">
        <f>"201511037319"</f>
        <v>201511037319</v>
      </c>
    </row>
    <row r="17259" spans="1:2" x14ac:dyDescent="0.25">
      <c r="A17259" s="4">
        <v>17254</v>
      </c>
      <c r="B17259" s="3" t="str">
        <f>"201511037324"</f>
        <v>201511037324</v>
      </c>
    </row>
    <row r="17260" spans="1:2" x14ac:dyDescent="0.25">
      <c r="A17260" s="4">
        <v>17255</v>
      </c>
      <c r="B17260" s="3" t="str">
        <f>"201511037336"</f>
        <v>201511037336</v>
      </c>
    </row>
    <row r="17261" spans="1:2" x14ac:dyDescent="0.25">
      <c r="A17261" s="4">
        <v>17256</v>
      </c>
      <c r="B17261" s="3" t="str">
        <f>"201511037338"</f>
        <v>201511037338</v>
      </c>
    </row>
    <row r="17262" spans="1:2" x14ac:dyDescent="0.25">
      <c r="A17262" s="4">
        <v>17257</v>
      </c>
      <c r="B17262" s="3" t="str">
        <f>"201511037355"</f>
        <v>201511037355</v>
      </c>
    </row>
    <row r="17263" spans="1:2" x14ac:dyDescent="0.25">
      <c r="A17263" s="4">
        <v>17258</v>
      </c>
      <c r="B17263" s="3" t="str">
        <f>"201511037367"</f>
        <v>201511037367</v>
      </c>
    </row>
    <row r="17264" spans="1:2" x14ac:dyDescent="0.25">
      <c r="A17264" s="4">
        <v>17259</v>
      </c>
      <c r="B17264" s="3" t="str">
        <f>"201511037405"</f>
        <v>201511037405</v>
      </c>
    </row>
    <row r="17265" spans="1:2" x14ac:dyDescent="0.25">
      <c r="A17265" s="4">
        <v>17260</v>
      </c>
      <c r="B17265" s="3" t="str">
        <f>"201511037416"</f>
        <v>201511037416</v>
      </c>
    </row>
    <row r="17266" spans="1:2" x14ac:dyDescent="0.25">
      <c r="A17266" s="4">
        <v>17261</v>
      </c>
      <c r="B17266" s="3" t="str">
        <f>"201511037442"</f>
        <v>201511037442</v>
      </c>
    </row>
    <row r="17267" spans="1:2" x14ac:dyDescent="0.25">
      <c r="A17267" s="4">
        <v>17262</v>
      </c>
      <c r="B17267" s="3" t="str">
        <f>"201511037444"</f>
        <v>201511037444</v>
      </c>
    </row>
    <row r="17268" spans="1:2" x14ac:dyDescent="0.25">
      <c r="A17268" s="4">
        <v>17263</v>
      </c>
      <c r="B17268" s="3" t="str">
        <f>"201511037446"</f>
        <v>201511037446</v>
      </c>
    </row>
    <row r="17269" spans="1:2" x14ac:dyDescent="0.25">
      <c r="A17269" s="4">
        <v>17264</v>
      </c>
      <c r="B17269" s="3" t="str">
        <f>"201511037475"</f>
        <v>201511037475</v>
      </c>
    </row>
    <row r="17270" spans="1:2" x14ac:dyDescent="0.25">
      <c r="A17270" s="4">
        <v>17265</v>
      </c>
      <c r="B17270" s="3" t="str">
        <f>"201511037485"</f>
        <v>201511037485</v>
      </c>
    </row>
    <row r="17271" spans="1:2" x14ac:dyDescent="0.25">
      <c r="A17271" s="4">
        <v>17266</v>
      </c>
      <c r="B17271" s="3" t="str">
        <f>"201511037486"</f>
        <v>201511037486</v>
      </c>
    </row>
    <row r="17272" spans="1:2" x14ac:dyDescent="0.25">
      <c r="A17272" s="4">
        <v>17267</v>
      </c>
      <c r="B17272" s="3" t="str">
        <f>"201511037499"</f>
        <v>201511037499</v>
      </c>
    </row>
    <row r="17273" spans="1:2" x14ac:dyDescent="0.25">
      <c r="A17273" s="4">
        <v>17268</v>
      </c>
      <c r="B17273" s="3" t="str">
        <f>"201511037510"</f>
        <v>201511037510</v>
      </c>
    </row>
    <row r="17274" spans="1:2" x14ac:dyDescent="0.25">
      <c r="A17274" s="4">
        <v>17269</v>
      </c>
      <c r="B17274" s="3" t="str">
        <f>"201511037516"</f>
        <v>201511037516</v>
      </c>
    </row>
    <row r="17275" spans="1:2" x14ac:dyDescent="0.25">
      <c r="A17275" s="4">
        <v>17270</v>
      </c>
      <c r="B17275" s="3" t="str">
        <f>"201511037533"</f>
        <v>201511037533</v>
      </c>
    </row>
    <row r="17276" spans="1:2" x14ac:dyDescent="0.25">
      <c r="A17276" s="4">
        <v>17271</v>
      </c>
      <c r="B17276" s="3" t="str">
        <f>"201511037550"</f>
        <v>201511037550</v>
      </c>
    </row>
    <row r="17277" spans="1:2" x14ac:dyDescent="0.25">
      <c r="A17277" s="4">
        <v>17272</v>
      </c>
      <c r="B17277" s="3" t="str">
        <f>"201511037560"</f>
        <v>201511037560</v>
      </c>
    </row>
    <row r="17278" spans="1:2" x14ac:dyDescent="0.25">
      <c r="A17278" s="4">
        <v>17273</v>
      </c>
      <c r="B17278" s="3" t="str">
        <f>"201511037567"</f>
        <v>201511037567</v>
      </c>
    </row>
    <row r="17279" spans="1:2" x14ac:dyDescent="0.25">
      <c r="A17279" s="4">
        <v>17274</v>
      </c>
      <c r="B17279" s="3" t="str">
        <f>"201511037576"</f>
        <v>201511037576</v>
      </c>
    </row>
    <row r="17280" spans="1:2" x14ac:dyDescent="0.25">
      <c r="A17280" s="4">
        <v>17275</v>
      </c>
      <c r="B17280" s="3" t="str">
        <f>"201511037591"</f>
        <v>201511037591</v>
      </c>
    </row>
    <row r="17281" spans="1:2" x14ac:dyDescent="0.25">
      <c r="A17281" s="4">
        <v>17276</v>
      </c>
      <c r="B17281" s="3" t="str">
        <f>"201511037607"</f>
        <v>201511037607</v>
      </c>
    </row>
    <row r="17282" spans="1:2" x14ac:dyDescent="0.25">
      <c r="A17282" s="4">
        <v>17277</v>
      </c>
      <c r="B17282" s="3" t="str">
        <f>"201511037610"</f>
        <v>201511037610</v>
      </c>
    </row>
    <row r="17283" spans="1:2" x14ac:dyDescent="0.25">
      <c r="A17283" s="4">
        <v>17278</v>
      </c>
      <c r="B17283" s="3" t="str">
        <f>"201511037614"</f>
        <v>201511037614</v>
      </c>
    </row>
    <row r="17284" spans="1:2" x14ac:dyDescent="0.25">
      <c r="A17284" s="4">
        <v>17279</v>
      </c>
      <c r="B17284" s="3" t="str">
        <f>"201511037619"</f>
        <v>201511037619</v>
      </c>
    </row>
    <row r="17285" spans="1:2" x14ac:dyDescent="0.25">
      <c r="A17285" s="4">
        <v>17280</v>
      </c>
      <c r="B17285" s="3" t="str">
        <f>"201511037630"</f>
        <v>201511037630</v>
      </c>
    </row>
    <row r="17286" spans="1:2" x14ac:dyDescent="0.25">
      <c r="A17286" s="4">
        <v>17281</v>
      </c>
      <c r="B17286" s="3" t="str">
        <f>"201511037646"</f>
        <v>201511037646</v>
      </c>
    </row>
    <row r="17287" spans="1:2" x14ac:dyDescent="0.25">
      <c r="A17287" s="4">
        <v>17282</v>
      </c>
      <c r="B17287" s="3" t="str">
        <f>"201511037651"</f>
        <v>201511037651</v>
      </c>
    </row>
    <row r="17288" spans="1:2" x14ac:dyDescent="0.25">
      <c r="A17288" s="4">
        <v>17283</v>
      </c>
      <c r="B17288" s="3" t="str">
        <f>"201511037658"</f>
        <v>201511037658</v>
      </c>
    </row>
    <row r="17289" spans="1:2" x14ac:dyDescent="0.25">
      <c r="A17289" s="4">
        <v>17284</v>
      </c>
      <c r="B17289" s="3" t="str">
        <f>"201511037672"</f>
        <v>201511037672</v>
      </c>
    </row>
    <row r="17290" spans="1:2" x14ac:dyDescent="0.25">
      <c r="A17290" s="4">
        <v>17285</v>
      </c>
      <c r="B17290" s="3" t="str">
        <f>"201511037686"</f>
        <v>201511037686</v>
      </c>
    </row>
    <row r="17291" spans="1:2" x14ac:dyDescent="0.25">
      <c r="A17291" s="4">
        <v>17286</v>
      </c>
      <c r="B17291" s="3" t="str">
        <f>"201511037696"</f>
        <v>201511037696</v>
      </c>
    </row>
    <row r="17292" spans="1:2" x14ac:dyDescent="0.25">
      <c r="A17292" s="4">
        <v>17287</v>
      </c>
      <c r="B17292" s="3" t="str">
        <f>"201511037712"</f>
        <v>201511037712</v>
      </c>
    </row>
    <row r="17293" spans="1:2" x14ac:dyDescent="0.25">
      <c r="A17293" s="4">
        <v>17288</v>
      </c>
      <c r="B17293" s="3" t="str">
        <f>"201511037740"</f>
        <v>201511037740</v>
      </c>
    </row>
    <row r="17294" spans="1:2" x14ac:dyDescent="0.25">
      <c r="A17294" s="4">
        <v>17289</v>
      </c>
      <c r="B17294" s="3" t="str">
        <f>"201511037767"</f>
        <v>201511037767</v>
      </c>
    </row>
    <row r="17295" spans="1:2" x14ac:dyDescent="0.25">
      <c r="A17295" s="4">
        <v>17290</v>
      </c>
      <c r="B17295" s="3" t="str">
        <f>"201511037768"</f>
        <v>201511037768</v>
      </c>
    </row>
    <row r="17296" spans="1:2" x14ac:dyDescent="0.25">
      <c r="A17296" s="4">
        <v>17291</v>
      </c>
      <c r="B17296" s="3" t="str">
        <f>"201511037788"</f>
        <v>201511037788</v>
      </c>
    </row>
    <row r="17297" spans="1:2" x14ac:dyDescent="0.25">
      <c r="A17297" s="4">
        <v>17292</v>
      </c>
      <c r="B17297" s="3" t="str">
        <f>"201511037809"</f>
        <v>201511037809</v>
      </c>
    </row>
    <row r="17298" spans="1:2" x14ac:dyDescent="0.25">
      <c r="A17298" s="4">
        <v>17293</v>
      </c>
      <c r="B17298" s="3" t="str">
        <f>"201511037815"</f>
        <v>201511037815</v>
      </c>
    </row>
    <row r="17299" spans="1:2" x14ac:dyDescent="0.25">
      <c r="A17299" s="4">
        <v>17294</v>
      </c>
      <c r="B17299" s="3" t="str">
        <f>"201511037836"</f>
        <v>201511037836</v>
      </c>
    </row>
    <row r="17300" spans="1:2" x14ac:dyDescent="0.25">
      <c r="A17300" s="4">
        <v>17295</v>
      </c>
      <c r="B17300" s="3" t="str">
        <f>"201511037837"</f>
        <v>201511037837</v>
      </c>
    </row>
    <row r="17301" spans="1:2" x14ac:dyDescent="0.25">
      <c r="A17301" s="4">
        <v>17296</v>
      </c>
      <c r="B17301" s="3" t="str">
        <f>"201511037838"</f>
        <v>201511037838</v>
      </c>
    </row>
    <row r="17302" spans="1:2" x14ac:dyDescent="0.25">
      <c r="A17302" s="4">
        <v>17297</v>
      </c>
      <c r="B17302" s="3" t="str">
        <f>"201511037850"</f>
        <v>201511037850</v>
      </c>
    </row>
    <row r="17303" spans="1:2" x14ac:dyDescent="0.25">
      <c r="A17303" s="4">
        <v>17298</v>
      </c>
      <c r="B17303" s="3" t="str">
        <f>"201511037871"</f>
        <v>201511037871</v>
      </c>
    </row>
    <row r="17304" spans="1:2" x14ac:dyDescent="0.25">
      <c r="A17304" s="4">
        <v>17299</v>
      </c>
      <c r="B17304" s="3" t="str">
        <f>"201511037873"</f>
        <v>201511037873</v>
      </c>
    </row>
    <row r="17305" spans="1:2" x14ac:dyDescent="0.25">
      <c r="A17305" s="4">
        <v>17300</v>
      </c>
      <c r="B17305" s="3" t="str">
        <f>"201511037876"</f>
        <v>201511037876</v>
      </c>
    </row>
    <row r="17306" spans="1:2" x14ac:dyDescent="0.25">
      <c r="A17306" s="4">
        <v>17301</v>
      </c>
      <c r="B17306" s="3" t="str">
        <f>"201511037880"</f>
        <v>201511037880</v>
      </c>
    </row>
    <row r="17307" spans="1:2" x14ac:dyDescent="0.25">
      <c r="A17307" s="4">
        <v>17302</v>
      </c>
      <c r="B17307" s="3" t="str">
        <f>"201511037883"</f>
        <v>201511037883</v>
      </c>
    </row>
    <row r="17308" spans="1:2" x14ac:dyDescent="0.25">
      <c r="A17308" s="4">
        <v>17303</v>
      </c>
      <c r="B17308" s="3" t="str">
        <f>"201511037885"</f>
        <v>201511037885</v>
      </c>
    </row>
    <row r="17309" spans="1:2" x14ac:dyDescent="0.25">
      <c r="A17309" s="4">
        <v>17304</v>
      </c>
      <c r="B17309" s="3" t="str">
        <f>"201511037893"</f>
        <v>201511037893</v>
      </c>
    </row>
    <row r="17310" spans="1:2" x14ac:dyDescent="0.25">
      <c r="A17310" s="4">
        <v>17305</v>
      </c>
      <c r="B17310" s="3" t="str">
        <f>"201511037903"</f>
        <v>201511037903</v>
      </c>
    </row>
    <row r="17311" spans="1:2" x14ac:dyDescent="0.25">
      <c r="A17311" s="4">
        <v>17306</v>
      </c>
      <c r="B17311" s="3" t="str">
        <f>"201511037923"</f>
        <v>201511037923</v>
      </c>
    </row>
    <row r="17312" spans="1:2" x14ac:dyDescent="0.25">
      <c r="A17312" s="4">
        <v>17307</v>
      </c>
      <c r="B17312" s="3" t="str">
        <f>"201511037924"</f>
        <v>201511037924</v>
      </c>
    </row>
    <row r="17313" spans="1:2" x14ac:dyDescent="0.25">
      <c r="A17313" s="4">
        <v>17308</v>
      </c>
      <c r="B17313" s="3" t="str">
        <f>"201511037955"</f>
        <v>201511037955</v>
      </c>
    </row>
    <row r="17314" spans="1:2" x14ac:dyDescent="0.25">
      <c r="A17314" s="4">
        <v>17309</v>
      </c>
      <c r="B17314" s="3" t="str">
        <f>"201511037959"</f>
        <v>201511037959</v>
      </c>
    </row>
    <row r="17315" spans="1:2" x14ac:dyDescent="0.25">
      <c r="A17315" s="4">
        <v>17310</v>
      </c>
      <c r="B17315" s="3" t="str">
        <f>"201511037970"</f>
        <v>201511037970</v>
      </c>
    </row>
    <row r="17316" spans="1:2" x14ac:dyDescent="0.25">
      <c r="A17316" s="4">
        <v>17311</v>
      </c>
      <c r="B17316" s="3" t="str">
        <f>"201511038001"</f>
        <v>201511038001</v>
      </c>
    </row>
    <row r="17317" spans="1:2" x14ac:dyDescent="0.25">
      <c r="A17317" s="4">
        <v>17312</v>
      </c>
      <c r="B17317" s="3" t="str">
        <f>"201511038022"</f>
        <v>201511038022</v>
      </c>
    </row>
    <row r="17318" spans="1:2" x14ac:dyDescent="0.25">
      <c r="A17318" s="4">
        <v>17313</v>
      </c>
      <c r="B17318" s="3" t="str">
        <f>"201511038030"</f>
        <v>201511038030</v>
      </c>
    </row>
    <row r="17319" spans="1:2" x14ac:dyDescent="0.25">
      <c r="A17319" s="4">
        <v>17314</v>
      </c>
      <c r="B17319" s="3" t="str">
        <f>"201511038040"</f>
        <v>201511038040</v>
      </c>
    </row>
    <row r="17320" spans="1:2" x14ac:dyDescent="0.25">
      <c r="A17320" s="4">
        <v>17315</v>
      </c>
      <c r="B17320" s="3" t="str">
        <f>"201511038041"</f>
        <v>201511038041</v>
      </c>
    </row>
    <row r="17321" spans="1:2" x14ac:dyDescent="0.25">
      <c r="A17321" s="4">
        <v>17316</v>
      </c>
      <c r="B17321" s="3" t="str">
        <f>"201511038057"</f>
        <v>201511038057</v>
      </c>
    </row>
    <row r="17322" spans="1:2" x14ac:dyDescent="0.25">
      <c r="A17322" s="4">
        <v>17317</v>
      </c>
      <c r="B17322" s="3" t="str">
        <f>"201511038064"</f>
        <v>201511038064</v>
      </c>
    </row>
    <row r="17323" spans="1:2" x14ac:dyDescent="0.25">
      <c r="A17323" s="4">
        <v>17318</v>
      </c>
      <c r="B17323" s="3" t="str">
        <f>"201511038069"</f>
        <v>201511038069</v>
      </c>
    </row>
    <row r="17324" spans="1:2" x14ac:dyDescent="0.25">
      <c r="A17324" s="4">
        <v>17319</v>
      </c>
      <c r="B17324" s="3" t="str">
        <f>"201511038077"</f>
        <v>201511038077</v>
      </c>
    </row>
    <row r="17325" spans="1:2" x14ac:dyDescent="0.25">
      <c r="A17325" s="4">
        <v>17320</v>
      </c>
      <c r="B17325" s="3" t="str">
        <f>"201511038089"</f>
        <v>201511038089</v>
      </c>
    </row>
    <row r="17326" spans="1:2" x14ac:dyDescent="0.25">
      <c r="A17326" s="4">
        <v>17321</v>
      </c>
      <c r="B17326" s="3" t="str">
        <f>"201511038096"</f>
        <v>201511038096</v>
      </c>
    </row>
    <row r="17327" spans="1:2" x14ac:dyDescent="0.25">
      <c r="A17327" s="4">
        <v>17322</v>
      </c>
      <c r="B17327" s="3" t="str">
        <f>"201511038106"</f>
        <v>201511038106</v>
      </c>
    </row>
    <row r="17328" spans="1:2" x14ac:dyDescent="0.25">
      <c r="A17328" s="4">
        <v>17323</v>
      </c>
      <c r="B17328" s="3" t="str">
        <f>"201511038116"</f>
        <v>201511038116</v>
      </c>
    </row>
    <row r="17329" spans="1:2" x14ac:dyDescent="0.25">
      <c r="A17329" s="4">
        <v>17324</v>
      </c>
      <c r="B17329" s="3" t="str">
        <f>"201511038126"</f>
        <v>201511038126</v>
      </c>
    </row>
    <row r="17330" spans="1:2" x14ac:dyDescent="0.25">
      <c r="A17330" s="4">
        <v>17325</v>
      </c>
      <c r="B17330" s="3" t="str">
        <f>"201511038138"</f>
        <v>201511038138</v>
      </c>
    </row>
    <row r="17331" spans="1:2" x14ac:dyDescent="0.25">
      <c r="A17331" s="4">
        <v>17326</v>
      </c>
      <c r="B17331" s="3" t="str">
        <f>"201511038149"</f>
        <v>201511038149</v>
      </c>
    </row>
    <row r="17332" spans="1:2" x14ac:dyDescent="0.25">
      <c r="A17332" s="4">
        <v>17327</v>
      </c>
      <c r="B17332" s="3" t="str">
        <f>"201511038151"</f>
        <v>201511038151</v>
      </c>
    </row>
    <row r="17333" spans="1:2" x14ac:dyDescent="0.25">
      <c r="A17333" s="4">
        <v>17328</v>
      </c>
      <c r="B17333" s="3" t="str">
        <f>"201511038163"</f>
        <v>201511038163</v>
      </c>
    </row>
    <row r="17334" spans="1:2" x14ac:dyDescent="0.25">
      <c r="A17334" s="4">
        <v>17329</v>
      </c>
      <c r="B17334" s="3" t="str">
        <f>"201511038169"</f>
        <v>201511038169</v>
      </c>
    </row>
    <row r="17335" spans="1:2" x14ac:dyDescent="0.25">
      <c r="A17335" s="4">
        <v>17330</v>
      </c>
      <c r="B17335" s="3" t="str">
        <f>"201511038181"</f>
        <v>201511038181</v>
      </c>
    </row>
    <row r="17336" spans="1:2" x14ac:dyDescent="0.25">
      <c r="A17336" s="4">
        <v>17331</v>
      </c>
      <c r="B17336" s="3" t="str">
        <f>"201511038199"</f>
        <v>201511038199</v>
      </c>
    </row>
    <row r="17337" spans="1:2" x14ac:dyDescent="0.25">
      <c r="A17337" s="4">
        <v>17332</v>
      </c>
      <c r="B17337" s="3" t="str">
        <f>"201511038209"</f>
        <v>201511038209</v>
      </c>
    </row>
    <row r="17338" spans="1:2" x14ac:dyDescent="0.25">
      <c r="A17338" s="4">
        <v>17333</v>
      </c>
      <c r="B17338" s="3" t="str">
        <f>"201511038212"</f>
        <v>201511038212</v>
      </c>
    </row>
    <row r="17339" spans="1:2" x14ac:dyDescent="0.25">
      <c r="A17339" s="4">
        <v>17334</v>
      </c>
      <c r="B17339" s="3" t="str">
        <f>"201511038220"</f>
        <v>201511038220</v>
      </c>
    </row>
    <row r="17340" spans="1:2" x14ac:dyDescent="0.25">
      <c r="A17340" s="4">
        <v>17335</v>
      </c>
      <c r="B17340" s="3" t="str">
        <f>"201511038243"</f>
        <v>201511038243</v>
      </c>
    </row>
    <row r="17341" spans="1:2" x14ac:dyDescent="0.25">
      <c r="A17341" s="4">
        <v>17336</v>
      </c>
      <c r="B17341" s="3" t="str">
        <f>"201511038264"</f>
        <v>201511038264</v>
      </c>
    </row>
    <row r="17342" spans="1:2" x14ac:dyDescent="0.25">
      <c r="A17342" s="4">
        <v>17337</v>
      </c>
      <c r="B17342" s="3" t="str">
        <f>"201511038277"</f>
        <v>201511038277</v>
      </c>
    </row>
    <row r="17343" spans="1:2" x14ac:dyDescent="0.25">
      <c r="A17343" s="4">
        <v>17338</v>
      </c>
      <c r="B17343" s="3" t="str">
        <f>"201511038281"</f>
        <v>201511038281</v>
      </c>
    </row>
    <row r="17344" spans="1:2" x14ac:dyDescent="0.25">
      <c r="A17344" s="4">
        <v>17339</v>
      </c>
      <c r="B17344" s="3" t="str">
        <f>"201511038313"</f>
        <v>201511038313</v>
      </c>
    </row>
    <row r="17345" spans="1:2" x14ac:dyDescent="0.25">
      <c r="A17345" s="4">
        <v>17340</v>
      </c>
      <c r="B17345" s="3" t="str">
        <f>"201511038315"</f>
        <v>201511038315</v>
      </c>
    </row>
    <row r="17346" spans="1:2" x14ac:dyDescent="0.25">
      <c r="A17346" s="4">
        <v>17341</v>
      </c>
      <c r="B17346" s="3" t="str">
        <f>"201511038327"</f>
        <v>201511038327</v>
      </c>
    </row>
    <row r="17347" spans="1:2" x14ac:dyDescent="0.25">
      <c r="A17347" s="4">
        <v>17342</v>
      </c>
      <c r="B17347" s="3" t="str">
        <f>"201511038349"</f>
        <v>201511038349</v>
      </c>
    </row>
    <row r="17348" spans="1:2" x14ac:dyDescent="0.25">
      <c r="A17348" s="4">
        <v>17343</v>
      </c>
      <c r="B17348" s="3" t="str">
        <f>"201511038353"</f>
        <v>201511038353</v>
      </c>
    </row>
    <row r="17349" spans="1:2" x14ac:dyDescent="0.25">
      <c r="A17349" s="4">
        <v>17344</v>
      </c>
      <c r="B17349" s="3" t="str">
        <f>"201511038376"</f>
        <v>201511038376</v>
      </c>
    </row>
    <row r="17350" spans="1:2" x14ac:dyDescent="0.25">
      <c r="A17350" s="4">
        <v>17345</v>
      </c>
      <c r="B17350" s="3" t="str">
        <f>"201511038380"</f>
        <v>201511038380</v>
      </c>
    </row>
    <row r="17351" spans="1:2" x14ac:dyDescent="0.25">
      <c r="A17351" s="4">
        <v>17346</v>
      </c>
      <c r="B17351" s="3" t="str">
        <f>"201511038387"</f>
        <v>201511038387</v>
      </c>
    </row>
    <row r="17352" spans="1:2" x14ac:dyDescent="0.25">
      <c r="A17352" s="4">
        <v>17347</v>
      </c>
      <c r="B17352" s="3" t="str">
        <f>"201511038388"</f>
        <v>201511038388</v>
      </c>
    </row>
    <row r="17353" spans="1:2" x14ac:dyDescent="0.25">
      <c r="A17353" s="4">
        <v>17348</v>
      </c>
      <c r="B17353" s="3" t="str">
        <f>"201511038392"</f>
        <v>201511038392</v>
      </c>
    </row>
    <row r="17354" spans="1:2" x14ac:dyDescent="0.25">
      <c r="A17354" s="4">
        <v>17349</v>
      </c>
      <c r="B17354" s="3" t="str">
        <f>"201511038402"</f>
        <v>201511038402</v>
      </c>
    </row>
    <row r="17355" spans="1:2" x14ac:dyDescent="0.25">
      <c r="A17355" s="4">
        <v>17350</v>
      </c>
      <c r="B17355" s="3" t="str">
        <f>"201511038417"</f>
        <v>201511038417</v>
      </c>
    </row>
    <row r="17356" spans="1:2" x14ac:dyDescent="0.25">
      <c r="A17356" s="4">
        <v>17351</v>
      </c>
      <c r="B17356" s="3" t="str">
        <f>"201511038427"</f>
        <v>201511038427</v>
      </c>
    </row>
    <row r="17357" spans="1:2" x14ac:dyDescent="0.25">
      <c r="A17357" s="4">
        <v>17352</v>
      </c>
      <c r="B17357" s="3" t="str">
        <f>"201511038512"</f>
        <v>201511038512</v>
      </c>
    </row>
    <row r="17358" spans="1:2" x14ac:dyDescent="0.25">
      <c r="A17358" s="4">
        <v>17353</v>
      </c>
      <c r="B17358" s="3" t="str">
        <f>"201511038523"</f>
        <v>201511038523</v>
      </c>
    </row>
    <row r="17359" spans="1:2" x14ac:dyDescent="0.25">
      <c r="A17359" s="4">
        <v>17354</v>
      </c>
      <c r="B17359" s="3" t="str">
        <f>"201511038528"</f>
        <v>201511038528</v>
      </c>
    </row>
    <row r="17360" spans="1:2" x14ac:dyDescent="0.25">
      <c r="A17360" s="4">
        <v>17355</v>
      </c>
      <c r="B17360" s="3" t="str">
        <f>"201511038547"</f>
        <v>201511038547</v>
      </c>
    </row>
    <row r="17361" spans="1:2" x14ac:dyDescent="0.25">
      <c r="A17361" s="4">
        <v>17356</v>
      </c>
      <c r="B17361" s="3" t="str">
        <f>"201511038552"</f>
        <v>201511038552</v>
      </c>
    </row>
    <row r="17362" spans="1:2" x14ac:dyDescent="0.25">
      <c r="A17362" s="4">
        <v>17357</v>
      </c>
      <c r="B17362" s="3" t="str">
        <f>"201511038557"</f>
        <v>201511038557</v>
      </c>
    </row>
    <row r="17363" spans="1:2" x14ac:dyDescent="0.25">
      <c r="A17363" s="4">
        <v>17358</v>
      </c>
      <c r="B17363" s="3" t="str">
        <f>"201511038559"</f>
        <v>201511038559</v>
      </c>
    </row>
    <row r="17364" spans="1:2" x14ac:dyDescent="0.25">
      <c r="A17364" s="4">
        <v>17359</v>
      </c>
      <c r="B17364" s="3" t="str">
        <f>"201511038564"</f>
        <v>201511038564</v>
      </c>
    </row>
    <row r="17365" spans="1:2" x14ac:dyDescent="0.25">
      <c r="A17365" s="4">
        <v>17360</v>
      </c>
      <c r="B17365" s="3" t="str">
        <f>"201511038592"</f>
        <v>201511038592</v>
      </c>
    </row>
    <row r="17366" spans="1:2" x14ac:dyDescent="0.25">
      <c r="A17366" s="4">
        <v>17361</v>
      </c>
      <c r="B17366" s="3" t="str">
        <f>"201511038596"</f>
        <v>201511038596</v>
      </c>
    </row>
    <row r="17367" spans="1:2" x14ac:dyDescent="0.25">
      <c r="A17367" s="4">
        <v>17362</v>
      </c>
      <c r="B17367" s="3" t="str">
        <f>"201511038598"</f>
        <v>201511038598</v>
      </c>
    </row>
    <row r="17368" spans="1:2" x14ac:dyDescent="0.25">
      <c r="A17368" s="4">
        <v>17363</v>
      </c>
      <c r="B17368" s="3" t="str">
        <f>"201511038611"</f>
        <v>201511038611</v>
      </c>
    </row>
    <row r="17369" spans="1:2" x14ac:dyDescent="0.25">
      <c r="A17369" s="4">
        <v>17364</v>
      </c>
      <c r="B17369" s="3" t="str">
        <f>"201511038627"</f>
        <v>201511038627</v>
      </c>
    </row>
    <row r="17370" spans="1:2" x14ac:dyDescent="0.25">
      <c r="A17370" s="4">
        <v>17365</v>
      </c>
      <c r="B17370" s="3" t="str">
        <f>"201511038658"</f>
        <v>201511038658</v>
      </c>
    </row>
    <row r="17371" spans="1:2" x14ac:dyDescent="0.25">
      <c r="A17371" s="4">
        <v>17366</v>
      </c>
      <c r="B17371" s="3" t="str">
        <f>"201511038696"</f>
        <v>201511038696</v>
      </c>
    </row>
    <row r="17372" spans="1:2" x14ac:dyDescent="0.25">
      <c r="A17372" s="4">
        <v>17367</v>
      </c>
      <c r="B17372" s="3" t="str">
        <f>"201511038717"</f>
        <v>201511038717</v>
      </c>
    </row>
    <row r="17373" spans="1:2" x14ac:dyDescent="0.25">
      <c r="A17373" s="4">
        <v>17368</v>
      </c>
      <c r="B17373" s="3" t="str">
        <f>"201511038721"</f>
        <v>201511038721</v>
      </c>
    </row>
    <row r="17374" spans="1:2" x14ac:dyDescent="0.25">
      <c r="A17374" s="4">
        <v>17369</v>
      </c>
      <c r="B17374" s="3" t="str">
        <f>"201511038734"</f>
        <v>201511038734</v>
      </c>
    </row>
    <row r="17375" spans="1:2" x14ac:dyDescent="0.25">
      <c r="A17375" s="4">
        <v>17370</v>
      </c>
      <c r="B17375" s="3" t="str">
        <f>"201511038736"</f>
        <v>201511038736</v>
      </c>
    </row>
    <row r="17376" spans="1:2" x14ac:dyDescent="0.25">
      <c r="A17376" s="4">
        <v>17371</v>
      </c>
      <c r="B17376" s="3" t="str">
        <f>"201511038741"</f>
        <v>201511038741</v>
      </c>
    </row>
    <row r="17377" spans="1:2" x14ac:dyDescent="0.25">
      <c r="A17377" s="4">
        <v>17372</v>
      </c>
      <c r="B17377" s="3" t="str">
        <f>"201511038746"</f>
        <v>201511038746</v>
      </c>
    </row>
    <row r="17378" spans="1:2" x14ac:dyDescent="0.25">
      <c r="A17378" s="4">
        <v>17373</v>
      </c>
      <c r="B17378" s="3" t="str">
        <f>"201511038753"</f>
        <v>201511038753</v>
      </c>
    </row>
    <row r="17379" spans="1:2" x14ac:dyDescent="0.25">
      <c r="A17379" s="4">
        <v>17374</v>
      </c>
      <c r="B17379" s="3" t="str">
        <f>"201511038757"</f>
        <v>201511038757</v>
      </c>
    </row>
    <row r="17380" spans="1:2" x14ac:dyDescent="0.25">
      <c r="A17380" s="4">
        <v>17375</v>
      </c>
      <c r="B17380" s="3" t="str">
        <f>"201511038768"</f>
        <v>201511038768</v>
      </c>
    </row>
    <row r="17381" spans="1:2" x14ac:dyDescent="0.25">
      <c r="A17381" s="4">
        <v>17376</v>
      </c>
      <c r="B17381" s="3" t="str">
        <f>"201511038769"</f>
        <v>201511038769</v>
      </c>
    </row>
    <row r="17382" spans="1:2" x14ac:dyDescent="0.25">
      <c r="A17382" s="4">
        <v>17377</v>
      </c>
      <c r="B17382" s="3" t="str">
        <f>"201511038771"</f>
        <v>201511038771</v>
      </c>
    </row>
    <row r="17383" spans="1:2" x14ac:dyDescent="0.25">
      <c r="A17383" s="4">
        <v>17378</v>
      </c>
      <c r="B17383" s="3" t="str">
        <f>"201511038805"</f>
        <v>201511038805</v>
      </c>
    </row>
    <row r="17384" spans="1:2" x14ac:dyDescent="0.25">
      <c r="A17384" s="4">
        <v>17379</v>
      </c>
      <c r="B17384" s="3" t="str">
        <f>"201511038819"</f>
        <v>201511038819</v>
      </c>
    </row>
    <row r="17385" spans="1:2" x14ac:dyDescent="0.25">
      <c r="A17385" s="4">
        <v>17380</v>
      </c>
      <c r="B17385" s="3" t="str">
        <f>"201511038821"</f>
        <v>201511038821</v>
      </c>
    </row>
    <row r="17386" spans="1:2" x14ac:dyDescent="0.25">
      <c r="A17386" s="4">
        <v>17381</v>
      </c>
      <c r="B17386" s="3" t="str">
        <f>"201511038822"</f>
        <v>201511038822</v>
      </c>
    </row>
    <row r="17387" spans="1:2" x14ac:dyDescent="0.25">
      <c r="A17387" s="4">
        <v>17382</v>
      </c>
      <c r="B17387" s="3" t="str">
        <f>"201511038828"</f>
        <v>201511038828</v>
      </c>
    </row>
    <row r="17388" spans="1:2" x14ac:dyDescent="0.25">
      <c r="A17388" s="4">
        <v>17383</v>
      </c>
      <c r="B17388" s="3" t="str">
        <f>"201511038857"</f>
        <v>201511038857</v>
      </c>
    </row>
    <row r="17389" spans="1:2" x14ac:dyDescent="0.25">
      <c r="A17389" s="4">
        <v>17384</v>
      </c>
      <c r="B17389" s="3" t="str">
        <f>"201511038859"</f>
        <v>201511038859</v>
      </c>
    </row>
    <row r="17390" spans="1:2" x14ac:dyDescent="0.25">
      <c r="A17390" s="4">
        <v>17385</v>
      </c>
      <c r="B17390" s="3" t="str">
        <f>"201511038862"</f>
        <v>201511038862</v>
      </c>
    </row>
    <row r="17391" spans="1:2" x14ac:dyDescent="0.25">
      <c r="A17391" s="4">
        <v>17386</v>
      </c>
      <c r="B17391" s="3" t="str">
        <f>"201511038871"</f>
        <v>201511038871</v>
      </c>
    </row>
    <row r="17392" spans="1:2" x14ac:dyDescent="0.25">
      <c r="A17392" s="4">
        <v>17387</v>
      </c>
      <c r="B17392" s="3" t="str">
        <f>"201511038914"</f>
        <v>201511038914</v>
      </c>
    </row>
    <row r="17393" spans="1:2" x14ac:dyDescent="0.25">
      <c r="A17393" s="4">
        <v>17388</v>
      </c>
      <c r="B17393" s="3" t="str">
        <f>"201511038918"</f>
        <v>201511038918</v>
      </c>
    </row>
    <row r="17394" spans="1:2" x14ac:dyDescent="0.25">
      <c r="A17394" s="4">
        <v>17389</v>
      </c>
      <c r="B17394" s="3" t="str">
        <f>"201511038922"</f>
        <v>201511038922</v>
      </c>
    </row>
    <row r="17395" spans="1:2" x14ac:dyDescent="0.25">
      <c r="A17395" s="4">
        <v>17390</v>
      </c>
      <c r="B17395" s="3" t="str">
        <f>"201511038928"</f>
        <v>201511038928</v>
      </c>
    </row>
    <row r="17396" spans="1:2" x14ac:dyDescent="0.25">
      <c r="A17396" s="4">
        <v>17391</v>
      </c>
      <c r="B17396" s="3" t="str">
        <f>"201511038931"</f>
        <v>201511038931</v>
      </c>
    </row>
    <row r="17397" spans="1:2" x14ac:dyDescent="0.25">
      <c r="A17397" s="4">
        <v>17392</v>
      </c>
      <c r="B17397" s="3" t="str">
        <f>"201511038946"</f>
        <v>201511038946</v>
      </c>
    </row>
    <row r="17398" spans="1:2" x14ac:dyDescent="0.25">
      <c r="A17398" s="4">
        <v>17393</v>
      </c>
      <c r="B17398" s="3" t="str">
        <f>"201511038947"</f>
        <v>201511038947</v>
      </c>
    </row>
    <row r="17399" spans="1:2" x14ac:dyDescent="0.25">
      <c r="A17399" s="4">
        <v>17394</v>
      </c>
      <c r="B17399" s="3" t="str">
        <f>"201511038967"</f>
        <v>201511038967</v>
      </c>
    </row>
    <row r="17400" spans="1:2" x14ac:dyDescent="0.25">
      <c r="A17400" s="4">
        <v>17395</v>
      </c>
      <c r="B17400" s="3" t="str">
        <f>"201511038993"</f>
        <v>201511038993</v>
      </c>
    </row>
    <row r="17401" spans="1:2" x14ac:dyDescent="0.25">
      <c r="A17401" s="4">
        <v>17396</v>
      </c>
      <c r="B17401" s="3" t="str">
        <f>"201511038999"</f>
        <v>201511038999</v>
      </c>
    </row>
    <row r="17402" spans="1:2" x14ac:dyDescent="0.25">
      <c r="A17402" s="4">
        <v>17397</v>
      </c>
      <c r="B17402" s="3" t="str">
        <f>"201511039004"</f>
        <v>201511039004</v>
      </c>
    </row>
    <row r="17403" spans="1:2" x14ac:dyDescent="0.25">
      <c r="A17403" s="4">
        <v>17398</v>
      </c>
      <c r="B17403" s="3" t="str">
        <f>"201511039045"</f>
        <v>201511039045</v>
      </c>
    </row>
    <row r="17404" spans="1:2" x14ac:dyDescent="0.25">
      <c r="A17404" s="4">
        <v>17399</v>
      </c>
      <c r="B17404" s="3" t="str">
        <f>"201511039046"</f>
        <v>201511039046</v>
      </c>
    </row>
    <row r="17405" spans="1:2" x14ac:dyDescent="0.25">
      <c r="A17405" s="4">
        <v>17400</v>
      </c>
      <c r="B17405" s="3" t="str">
        <f>"201511039083"</f>
        <v>201511039083</v>
      </c>
    </row>
    <row r="17406" spans="1:2" x14ac:dyDescent="0.25">
      <c r="A17406" s="4">
        <v>17401</v>
      </c>
      <c r="B17406" s="3" t="str">
        <f>"201511039119"</f>
        <v>201511039119</v>
      </c>
    </row>
    <row r="17407" spans="1:2" x14ac:dyDescent="0.25">
      <c r="A17407" s="4">
        <v>17402</v>
      </c>
      <c r="B17407" s="3" t="str">
        <f>"201511039123"</f>
        <v>201511039123</v>
      </c>
    </row>
    <row r="17408" spans="1:2" x14ac:dyDescent="0.25">
      <c r="A17408" s="4">
        <v>17403</v>
      </c>
      <c r="B17408" s="3" t="str">
        <f>"201511039136"</f>
        <v>201511039136</v>
      </c>
    </row>
    <row r="17409" spans="1:2" x14ac:dyDescent="0.25">
      <c r="A17409" s="4">
        <v>17404</v>
      </c>
      <c r="B17409" s="3" t="str">
        <f>"201511039150"</f>
        <v>201511039150</v>
      </c>
    </row>
    <row r="17410" spans="1:2" x14ac:dyDescent="0.25">
      <c r="A17410" s="4">
        <v>17405</v>
      </c>
      <c r="B17410" s="3" t="str">
        <f>"201511039178"</f>
        <v>201511039178</v>
      </c>
    </row>
    <row r="17411" spans="1:2" x14ac:dyDescent="0.25">
      <c r="A17411" s="4">
        <v>17406</v>
      </c>
      <c r="B17411" s="3" t="str">
        <f>"201511039217"</f>
        <v>201511039217</v>
      </c>
    </row>
    <row r="17412" spans="1:2" x14ac:dyDescent="0.25">
      <c r="A17412" s="4">
        <v>17407</v>
      </c>
      <c r="B17412" s="3" t="str">
        <f>"201511039254"</f>
        <v>201511039254</v>
      </c>
    </row>
    <row r="17413" spans="1:2" x14ac:dyDescent="0.25">
      <c r="A17413" s="4">
        <v>17408</v>
      </c>
      <c r="B17413" s="3" t="str">
        <f>"201511039276"</f>
        <v>201511039276</v>
      </c>
    </row>
    <row r="17414" spans="1:2" x14ac:dyDescent="0.25">
      <c r="A17414" s="4">
        <v>17409</v>
      </c>
      <c r="B17414" s="3" t="str">
        <f>"201511039287"</f>
        <v>201511039287</v>
      </c>
    </row>
    <row r="17415" spans="1:2" x14ac:dyDescent="0.25">
      <c r="A17415" s="4">
        <v>17410</v>
      </c>
      <c r="B17415" s="3" t="str">
        <f>"201511039293"</f>
        <v>201511039293</v>
      </c>
    </row>
    <row r="17416" spans="1:2" x14ac:dyDescent="0.25">
      <c r="A17416" s="4">
        <v>17411</v>
      </c>
      <c r="B17416" s="3" t="str">
        <f>"201511039312"</f>
        <v>201511039312</v>
      </c>
    </row>
    <row r="17417" spans="1:2" x14ac:dyDescent="0.25">
      <c r="A17417" s="4">
        <v>17412</v>
      </c>
      <c r="B17417" s="3" t="str">
        <f>"201511039337"</f>
        <v>201511039337</v>
      </c>
    </row>
    <row r="17418" spans="1:2" x14ac:dyDescent="0.25">
      <c r="A17418" s="4">
        <v>17413</v>
      </c>
      <c r="B17418" s="3" t="str">
        <f>"201511039360"</f>
        <v>201511039360</v>
      </c>
    </row>
    <row r="17419" spans="1:2" x14ac:dyDescent="0.25">
      <c r="A17419" s="4">
        <v>17414</v>
      </c>
      <c r="B17419" s="3" t="str">
        <f>"201511039366"</f>
        <v>201511039366</v>
      </c>
    </row>
    <row r="17420" spans="1:2" x14ac:dyDescent="0.25">
      <c r="A17420" s="4">
        <v>17415</v>
      </c>
      <c r="B17420" s="3" t="str">
        <f>"201511039405"</f>
        <v>201511039405</v>
      </c>
    </row>
    <row r="17421" spans="1:2" x14ac:dyDescent="0.25">
      <c r="A17421" s="4">
        <v>17416</v>
      </c>
      <c r="B17421" s="3" t="str">
        <f>"201511039408"</f>
        <v>201511039408</v>
      </c>
    </row>
    <row r="17422" spans="1:2" x14ac:dyDescent="0.25">
      <c r="A17422" s="4">
        <v>17417</v>
      </c>
      <c r="B17422" s="3" t="str">
        <f>"201511039416"</f>
        <v>201511039416</v>
      </c>
    </row>
    <row r="17423" spans="1:2" x14ac:dyDescent="0.25">
      <c r="A17423" s="4">
        <v>17418</v>
      </c>
      <c r="B17423" s="3" t="str">
        <f>"201511039435"</f>
        <v>201511039435</v>
      </c>
    </row>
    <row r="17424" spans="1:2" x14ac:dyDescent="0.25">
      <c r="A17424" s="4">
        <v>17419</v>
      </c>
      <c r="B17424" s="3" t="str">
        <f>"201511039450"</f>
        <v>201511039450</v>
      </c>
    </row>
    <row r="17425" spans="1:2" x14ac:dyDescent="0.25">
      <c r="A17425" s="4">
        <v>17420</v>
      </c>
      <c r="B17425" s="3" t="str">
        <f>"201511039455"</f>
        <v>201511039455</v>
      </c>
    </row>
    <row r="17426" spans="1:2" x14ac:dyDescent="0.25">
      <c r="A17426" s="4">
        <v>17421</v>
      </c>
      <c r="B17426" s="3" t="str">
        <f>"201511039487"</f>
        <v>201511039487</v>
      </c>
    </row>
    <row r="17427" spans="1:2" x14ac:dyDescent="0.25">
      <c r="A17427" s="4">
        <v>17422</v>
      </c>
      <c r="B17427" s="3" t="str">
        <f>"201511039488"</f>
        <v>201511039488</v>
      </c>
    </row>
    <row r="17428" spans="1:2" x14ac:dyDescent="0.25">
      <c r="A17428" s="4">
        <v>17423</v>
      </c>
      <c r="B17428" s="3" t="str">
        <f>"201511039508"</f>
        <v>201511039508</v>
      </c>
    </row>
    <row r="17429" spans="1:2" x14ac:dyDescent="0.25">
      <c r="A17429" s="4">
        <v>17424</v>
      </c>
      <c r="B17429" s="3" t="str">
        <f>"201511039509"</f>
        <v>201511039509</v>
      </c>
    </row>
    <row r="17430" spans="1:2" x14ac:dyDescent="0.25">
      <c r="A17430" s="4">
        <v>17425</v>
      </c>
      <c r="B17430" s="3" t="str">
        <f>"201511039510"</f>
        <v>201511039510</v>
      </c>
    </row>
    <row r="17431" spans="1:2" x14ac:dyDescent="0.25">
      <c r="A17431" s="4">
        <v>17426</v>
      </c>
      <c r="B17431" s="3" t="str">
        <f>"201511039511"</f>
        <v>201511039511</v>
      </c>
    </row>
    <row r="17432" spans="1:2" x14ac:dyDescent="0.25">
      <c r="A17432" s="4">
        <v>17427</v>
      </c>
      <c r="B17432" s="3" t="str">
        <f>"201511039514"</f>
        <v>201511039514</v>
      </c>
    </row>
    <row r="17433" spans="1:2" x14ac:dyDescent="0.25">
      <c r="A17433" s="4">
        <v>17428</v>
      </c>
      <c r="B17433" s="3" t="str">
        <f>"201511039520"</f>
        <v>201511039520</v>
      </c>
    </row>
    <row r="17434" spans="1:2" x14ac:dyDescent="0.25">
      <c r="A17434" s="4">
        <v>17429</v>
      </c>
      <c r="B17434" s="3" t="str">
        <f>"201511039525"</f>
        <v>201511039525</v>
      </c>
    </row>
    <row r="17435" spans="1:2" x14ac:dyDescent="0.25">
      <c r="A17435" s="4">
        <v>17430</v>
      </c>
      <c r="B17435" s="3" t="str">
        <f>"201511039530"</f>
        <v>201511039530</v>
      </c>
    </row>
    <row r="17436" spans="1:2" x14ac:dyDescent="0.25">
      <c r="A17436" s="4">
        <v>17431</v>
      </c>
      <c r="B17436" s="3" t="str">
        <f>"201511039532"</f>
        <v>201511039532</v>
      </c>
    </row>
    <row r="17437" spans="1:2" x14ac:dyDescent="0.25">
      <c r="A17437" s="4">
        <v>17432</v>
      </c>
      <c r="B17437" s="3" t="str">
        <f>"201511039535"</f>
        <v>201511039535</v>
      </c>
    </row>
    <row r="17438" spans="1:2" x14ac:dyDescent="0.25">
      <c r="A17438" s="4">
        <v>17433</v>
      </c>
      <c r="B17438" s="3" t="str">
        <f>"201511039567"</f>
        <v>201511039567</v>
      </c>
    </row>
    <row r="17439" spans="1:2" x14ac:dyDescent="0.25">
      <c r="A17439" s="4">
        <v>17434</v>
      </c>
      <c r="B17439" s="3" t="str">
        <f>"201511039584"</f>
        <v>201511039584</v>
      </c>
    </row>
    <row r="17440" spans="1:2" x14ac:dyDescent="0.25">
      <c r="A17440" s="4">
        <v>17435</v>
      </c>
      <c r="B17440" s="3" t="str">
        <f>"201511039589"</f>
        <v>201511039589</v>
      </c>
    </row>
    <row r="17441" spans="1:2" x14ac:dyDescent="0.25">
      <c r="A17441" s="4">
        <v>17436</v>
      </c>
      <c r="B17441" s="3" t="str">
        <f>"201511039610"</f>
        <v>201511039610</v>
      </c>
    </row>
    <row r="17442" spans="1:2" x14ac:dyDescent="0.25">
      <c r="A17442" s="4">
        <v>17437</v>
      </c>
      <c r="B17442" s="3" t="str">
        <f>"201511039629"</f>
        <v>201511039629</v>
      </c>
    </row>
    <row r="17443" spans="1:2" x14ac:dyDescent="0.25">
      <c r="A17443" s="4">
        <v>17438</v>
      </c>
      <c r="B17443" s="3" t="str">
        <f>"201511039668"</f>
        <v>201511039668</v>
      </c>
    </row>
    <row r="17444" spans="1:2" x14ac:dyDescent="0.25">
      <c r="A17444" s="4">
        <v>17439</v>
      </c>
      <c r="B17444" s="3" t="str">
        <f>"201511039676"</f>
        <v>201511039676</v>
      </c>
    </row>
    <row r="17445" spans="1:2" x14ac:dyDescent="0.25">
      <c r="A17445" s="4">
        <v>17440</v>
      </c>
      <c r="B17445" s="3" t="str">
        <f>"201511039685"</f>
        <v>201511039685</v>
      </c>
    </row>
    <row r="17446" spans="1:2" x14ac:dyDescent="0.25">
      <c r="A17446" s="4">
        <v>17441</v>
      </c>
      <c r="B17446" s="3" t="str">
        <f>"201511039686"</f>
        <v>201511039686</v>
      </c>
    </row>
    <row r="17447" spans="1:2" x14ac:dyDescent="0.25">
      <c r="A17447" s="4">
        <v>17442</v>
      </c>
      <c r="B17447" s="3" t="str">
        <f>"201511039689"</f>
        <v>201511039689</v>
      </c>
    </row>
    <row r="17448" spans="1:2" x14ac:dyDescent="0.25">
      <c r="A17448" s="4">
        <v>17443</v>
      </c>
      <c r="B17448" s="3" t="str">
        <f>"201511039696"</f>
        <v>201511039696</v>
      </c>
    </row>
    <row r="17449" spans="1:2" x14ac:dyDescent="0.25">
      <c r="A17449" s="4">
        <v>17444</v>
      </c>
      <c r="B17449" s="3" t="str">
        <f>"201511039702"</f>
        <v>201511039702</v>
      </c>
    </row>
    <row r="17450" spans="1:2" x14ac:dyDescent="0.25">
      <c r="A17450" s="4">
        <v>17445</v>
      </c>
      <c r="B17450" s="3" t="str">
        <f>"201511039708"</f>
        <v>201511039708</v>
      </c>
    </row>
    <row r="17451" spans="1:2" x14ac:dyDescent="0.25">
      <c r="A17451" s="4">
        <v>17446</v>
      </c>
      <c r="B17451" s="3" t="str">
        <f>"201511039717"</f>
        <v>201511039717</v>
      </c>
    </row>
    <row r="17452" spans="1:2" x14ac:dyDescent="0.25">
      <c r="A17452" s="4">
        <v>17447</v>
      </c>
      <c r="B17452" s="3" t="str">
        <f>"201511039728"</f>
        <v>201511039728</v>
      </c>
    </row>
    <row r="17453" spans="1:2" x14ac:dyDescent="0.25">
      <c r="A17453" s="4">
        <v>17448</v>
      </c>
      <c r="B17453" s="3" t="str">
        <f>"201511039732"</f>
        <v>201511039732</v>
      </c>
    </row>
    <row r="17454" spans="1:2" x14ac:dyDescent="0.25">
      <c r="A17454" s="4">
        <v>17449</v>
      </c>
      <c r="B17454" s="3" t="str">
        <f>"201511039759"</f>
        <v>201511039759</v>
      </c>
    </row>
    <row r="17455" spans="1:2" x14ac:dyDescent="0.25">
      <c r="A17455" s="4">
        <v>17450</v>
      </c>
      <c r="B17455" s="3" t="str">
        <f>"201511039772"</f>
        <v>201511039772</v>
      </c>
    </row>
    <row r="17456" spans="1:2" x14ac:dyDescent="0.25">
      <c r="A17456" s="4">
        <v>17451</v>
      </c>
      <c r="B17456" s="3" t="str">
        <f>"201511039778"</f>
        <v>201511039778</v>
      </c>
    </row>
    <row r="17457" spans="1:2" x14ac:dyDescent="0.25">
      <c r="A17457" s="4">
        <v>17452</v>
      </c>
      <c r="B17457" s="3" t="str">
        <f>"201511039790"</f>
        <v>201511039790</v>
      </c>
    </row>
    <row r="17458" spans="1:2" x14ac:dyDescent="0.25">
      <c r="A17458" s="4">
        <v>17453</v>
      </c>
      <c r="B17458" s="3" t="str">
        <f>"201511039799"</f>
        <v>201511039799</v>
      </c>
    </row>
    <row r="17459" spans="1:2" x14ac:dyDescent="0.25">
      <c r="A17459" s="4">
        <v>17454</v>
      </c>
      <c r="B17459" s="3" t="str">
        <f>"201511039806"</f>
        <v>201511039806</v>
      </c>
    </row>
    <row r="17460" spans="1:2" x14ac:dyDescent="0.25">
      <c r="A17460" s="4">
        <v>17455</v>
      </c>
      <c r="B17460" s="3" t="str">
        <f>"201511039828"</f>
        <v>201511039828</v>
      </c>
    </row>
    <row r="17461" spans="1:2" x14ac:dyDescent="0.25">
      <c r="A17461" s="4">
        <v>17456</v>
      </c>
      <c r="B17461" s="3" t="str">
        <f>"201511039832"</f>
        <v>201511039832</v>
      </c>
    </row>
    <row r="17462" spans="1:2" x14ac:dyDescent="0.25">
      <c r="A17462" s="4">
        <v>17457</v>
      </c>
      <c r="B17462" s="3" t="str">
        <f>"201511039839"</f>
        <v>201511039839</v>
      </c>
    </row>
    <row r="17463" spans="1:2" x14ac:dyDescent="0.25">
      <c r="A17463" s="4">
        <v>17458</v>
      </c>
      <c r="B17463" s="3" t="str">
        <f>"201511039865"</f>
        <v>201511039865</v>
      </c>
    </row>
    <row r="17464" spans="1:2" x14ac:dyDescent="0.25">
      <c r="A17464" s="4">
        <v>17459</v>
      </c>
      <c r="B17464" s="3" t="str">
        <f>"201511039886"</f>
        <v>201511039886</v>
      </c>
    </row>
    <row r="17465" spans="1:2" x14ac:dyDescent="0.25">
      <c r="A17465" s="4">
        <v>17460</v>
      </c>
      <c r="B17465" s="3" t="str">
        <f>"201511039903"</f>
        <v>201511039903</v>
      </c>
    </row>
    <row r="17466" spans="1:2" x14ac:dyDescent="0.25">
      <c r="A17466" s="4">
        <v>17461</v>
      </c>
      <c r="B17466" s="3" t="str">
        <f>"201511039909"</f>
        <v>201511039909</v>
      </c>
    </row>
    <row r="17467" spans="1:2" x14ac:dyDescent="0.25">
      <c r="A17467" s="4">
        <v>17462</v>
      </c>
      <c r="B17467" s="3" t="str">
        <f>"201511039914"</f>
        <v>201511039914</v>
      </c>
    </row>
    <row r="17468" spans="1:2" x14ac:dyDescent="0.25">
      <c r="A17468" s="4">
        <v>17463</v>
      </c>
      <c r="B17468" s="3" t="str">
        <f>"201511039957"</f>
        <v>201511039957</v>
      </c>
    </row>
    <row r="17469" spans="1:2" x14ac:dyDescent="0.25">
      <c r="A17469" s="4">
        <v>17464</v>
      </c>
      <c r="B17469" s="3" t="str">
        <f>"201511039969"</f>
        <v>201511039969</v>
      </c>
    </row>
    <row r="17470" spans="1:2" x14ac:dyDescent="0.25">
      <c r="A17470" s="4">
        <v>17465</v>
      </c>
      <c r="B17470" s="3" t="str">
        <f>"201511039996"</f>
        <v>201511039996</v>
      </c>
    </row>
    <row r="17471" spans="1:2" x14ac:dyDescent="0.25">
      <c r="A17471" s="4">
        <v>17466</v>
      </c>
      <c r="B17471" s="3" t="str">
        <f>"201511040024"</f>
        <v>201511040024</v>
      </c>
    </row>
    <row r="17472" spans="1:2" x14ac:dyDescent="0.25">
      <c r="A17472" s="4">
        <v>17467</v>
      </c>
      <c r="B17472" s="3" t="str">
        <f>"201511040028"</f>
        <v>201511040028</v>
      </c>
    </row>
    <row r="17473" spans="1:2" x14ac:dyDescent="0.25">
      <c r="A17473" s="4">
        <v>17468</v>
      </c>
      <c r="B17473" s="3" t="str">
        <f>"201511040051"</f>
        <v>201511040051</v>
      </c>
    </row>
    <row r="17474" spans="1:2" x14ac:dyDescent="0.25">
      <c r="A17474" s="4">
        <v>17469</v>
      </c>
      <c r="B17474" s="3" t="str">
        <f>"201511040065"</f>
        <v>201511040065</v>
      </c>
    </row>
    <row r="17475" spans="1:2" x14ac:dyDescent="0.25">
      <c r="A17475" s="4">
        <v>17470</v>
      </c>
      <c r="B17475" s="3" t="str">
        <f>"201511040068"</f>
        <v>201511040068</v>
      </c>
    </row>
    <row r="17476" spans="1:2" x14ac:dyDescent="0.25">
      <c r="A17476" s="4">
        <v>17471</v>
      </c>
      <c r="B17476" s="3" t="str">
        <f>"201511040070"</f>
        <v>201511040070</v>
      </c>
    </row>
    <row r="17477" spans="1:2" x14ac:dyDescent="0.25">
      <c r="A17477" s="4">
        <v>17472</v>
      </c>
      <c r="B17477" s="3" t="str">
        <f>"201511040074"</f>
        <v>201511040074</v>
      </c>
    </row>
    <row r="17478" spans="1:2" x14ac:dyDescent="0.25">
      <c r="A17478" s="4">
        <v>17473</v>
      </c>
      <c r="B17478" s="3" t="str">
        <f>"201511040076"</f>
        <v>201511040076</v>
      </c>
    </row>
    <row r="17479" spans="1:2" x14ac:dyDescent="0.25">
      <c r="A17479" s="4">
        <v>17474</v>
      </c>
      <c r="B17479" s="3" t="str">
        <f>"201511040079"</f>
        <v>201511040079</v>
      </c>
    </row>
    <row r="17480" spans="1:2" x14ac:dyDescent="0.25">
      <c r="A17480" s="4">
        <v>17475</v>
      </c>
      <c r="B17480" s="3" t="str">
        <f>"201511040112"</f>
        <v>201511040112</v>
      </c>
    </row>
    <row r="17481" spans="1:2" x14ac:dyDescent="0.25">
      <c r="A17481" s="4">
        <v>17476</v>
      </c>
      <c r="B17481" s="3" t="str">
        <f>"201511040121"</f>
        <v>201511040121</v>
      </c>
    </row>
    <row r="17482" spans="1:2" x14ac:dyDescent="0.25">
      <c r="A17482" s="4">
        <v>17477</v>
      </c>
      <c r="B17482" s="3" t="str">
        <f>"201511040124"</f>
        <v>201511040124</v>
      </c>
    </row>
    <row r="17483" spans="1:2" x14ac:dyDescent="0.25">
      <c r="A17483" s="4">
        <v>17478</v>
      </c>
      <c r="B17483" s="3" t="str">
        <f>"201511040141"</f>
        <v>201511040141</v>
      </c>
    </row>
    <row r="17484" spans="1:2" x14ac:dyDescent="0.25">
      <c r="A17484" s="4">
        <v>17479</v>
      </c>
      <c r="B17484" s="3" t="str">
        <f>"201511040154"</f>
        <v>201511040154</v>
      </c>
    </row>
    <row r="17485" spans="1:2" x14ac:dyDescent="0.25">
      <c r="A17485" s="4">
        <v>17480</v>
      </c>
      <c r="B17485" s="3" t="str">
        <f>"201511040168"</f>
        <v>201511040168</v>
      </c>
    </row>
    <row r="17486" spans="1:2" x14ac:dyDescent="0.25">
      <c r="A17486" s="4">
        <v>17481</v>
      </c>
      <c r="B17486" s="3" t="str">
        <f>"201511040194"</f>
        <v>201511040194</v>
      </c>
    </row>
    <row r="17487" spans="1:2" x14ac:dyDescent="0.25">
      <c r="A17487" s="4">
        <v>17482</v>
      </c>
      <c r="B17487" s="3" t="str">
        <f>"201511040218"</f>
        <v>201511040218</v>
      </c>
    </row>
    <row r="17488" spans="1:2" x14ac:dyDescent="0.25">
      <c r="A17488" s="4">
        <v>17483</v>
      </c>
      <c r="B17488" s="3" t="str">
        <f>"201511040232"</f>
        <v>201511040232</v>
      </c>
    </row>
    <row r="17489" spans="1:2" x14ac:dyDescent="0.25">
      <c r="A17489" s="4">
        <v>17484</v>
      </c>
      <c r="B17489" s="3" t="str">
        <f>"201511040258"</f>
        <v>201511040258</v>
      </c>
    </row>
    <row r="17490" spans="1:2" x14ac:dyDescent="0.25">
      <c r="A17490" s="4">
        <v>17485</v>
      </c>
      <c r="B17490" s="3" t="str">
        <f>"201511040276"</f>
        <v>201511040276</v>
      </c>
    </row>
    <row r="17491" spans="1:2" x14ac:dyDescent="0.25">
      <c r="A17491" s="4">
        <v>17486</v>
      </c>
      <c r="B17491" s="3" t="str">
        <f>"201511040278"</f>
        <v>201511040278</v>
      </c>
    </row>
    <row r="17492" spans="1:2" x14ac:dyDescent="0.25">
      <c r="A17492" s="4">
        <v>17487</v>
      </c>
      <c r="B17492" s="3" t="str">
        <f>"201511040284"</f>
        <v>201511040284</v>
      </c>
    </row>
    <row r="17493" spans="1:2" x14ac:dyDescent="0.25">
      <c r="A17493" s="4">
        <v>17488</v>
      </c>
      <c r="B17493" s="3" t="str">
        <f>"201511040288"</f>
        <v>201511040288</v>
      </c>
    </row>
    <row r="17494" spans="1:2" x14ac:dyDescent="0.25">
      <c r="A17494" s="4">
        <v>17489</v>
      </c>
      <c r="B17494" s="3" t="str">
        <f>"201511040295"</f>
        <v>201511040295</v>
      </c>
    </row>
    <row r="17495" spans="1:2" x14ac:dyDescent="0.25">
      <c r="A17495" s="4">
        <v>17490</v>
      </c>
      <c r="B17495" s="3" t="str">
        <f>"201511040313"</f>
        <v>201511040313</v>
      </c>
    </row>
    <row r="17496" spans="1:2" x14ac:dyDescent="0.25">
      <c r="A17496" s="4">
        <v>17491</v>
      </c>
      <c r="B17496" s="3" t="str">
        <f>"201511040314"</f>
        <v>201511040314</v>
      </c>
    </row>
    <row r="17497" spans="1:2" x14ac:dyDescent="0.25">
      <c r="A17497" s="4">
        <v>17492</v>
      </c>
      <c r="B17497" s="3" t="str">
        <f>"201511040334"</f>
        <v>201511040334</v>
      </c>
    </row>
    <row r="17498" spans="1:2" x14ac:dyDescent="0.25">
      <c r="A17498" s="4">
        <v>17493</v>
      </c>
      <c r="B17498" s="3" t="str">
        <f>"201511040345"</f>
        <v>201511040345</v>
      </c>
    </row>
    <row r="17499" spans="1:2" x14ac:dyDescent="0.25">
      <c r="A17499" s="4">
        <v>17494</v>
      </c>
      <c r="B17499" s="3" t="str">
        <f>"201511040352"</f>
        <v>201511040352</v>
      </c>
    </row>
    <row r="17500" spans="1:2" x14ac:dyDescent="0.25">
      <c r="A17500" s="4">
        <v>17495</v>
      </c>
      <c r="B17500" s="3" t="str">
        <f>"201511040377"</f>
        <v>201511040377</v>
      </c>
    </row>
    <row r="17501" spans="1:2" x14ac:dyDescent="0.25">
      <c r="A17501" s="4">
        <v>17496</v>
      </c>
      <c r="B17501" s="3" t="str">
        <f>"201511040413"</f>
        <v>201511040413</v>
      </c>
    </row>
    <row r="17502" spans="1:2" x14ac:dyDescent="0.25">
      <c r="A17502" s="4">
        <v>17497</v>
      </c>
      <c r="B17502" s="3" t="str">
        <f>"201511040428"</f>
        <v>201511040428</v>
      </c>
    </row>
    <row r="17503" spans="1:2" x14ac:dyDescent="0.25">
      <c r="A17503" s="4">
        <v>17498</v>
      </c>
      <c r="B17503" s="3" t="str">
        <f>"201511040432"</f>
        <v>201511040432</v>
      </c>
    </row>
    <row r="17504" spans="1:2" x14ac:dyDescent="0.25">
      <c r="A17504" s="4">
        <v>17499</v>
      </c>
      <c r="B17504" s="3" t="str">
        <f>"201511040448"</f>
        <v>201511040448</v>
      </c>
    </row>
    <row r="17505" spans="1:2" x14ac:dyDescent="0.25">
      <c r="A17505" s="4">
        <v>17500</v>
      </c>
      <c r="B17505" s="3" t="str">
        <f>"201511040494"</f>
        <v>201511040494</v>
      </c>
    </row>
    <row r="17506" spans="1:2" x14ac:dyDescent="0.25">
      <c r="A17506" s="4">
        <v>17501</v>
      </c>
      <c r="B17506" s="3" t="str">
        <f>"201511040506"</f>
        <v>201511040506</v>
      </c>
    </row>
    <row r="17507" spans="1:2" x14ac:dyDescent="0.25">
      <c r="A17507" s="4">
        <v>17502</v>
      </c>
      <c r="B17507" s="3" t="str">
        <f>"201511040513"</f>
        <v>201511040513</v>
      </c>
    </row>
    <row r="17508" spans="1:2" x14ac:dyDescent="0.25">
      <c r="A17508" s="4">
        <v>17503</v>
      </c>
      <c r="B17508" s="3" t="str">
        <f>"201511040522"</f>
        <v>201511040522</v>
      </c>
    </row>
    <row r="17509" spans="1:2" x14ac:dyDescent="0.25">
      <c r="A17509" s="4">
        <v>17504</v>
      </c>
      <c r="B17509" s="3" t="str">
        <f>"201511040538"</f>
        <v>201511040538</v>
      </c>
    </row>
    <row r="17510" spans="1:2" x14ac:dyDescent="0.25">
      <c r="A17510" s="4">
        <v>17505</v>
      </c>
      <c r="B17510" s="3" t="str">
        <f>"201511040549"</f>
        <v>201511040549</v>
      </c>
    </row>
    <row r="17511" spans="1:2" x14ac:dyDescent="0.25">
      <c r="A17511" s="4">
        <v>17506</v>
      </c>
      <c r="B17511" s="3" t="str">
        <f>"201511040560"</f>
        <v>201511040560</v>
      </c>
    </row>
    <row r="17512" spans="1:2" x14ac:dyDescent="0.25">
      <c r="A17512" s="4">
        <v>17507</v>
      </c>
      <c r="B17512" s="3" t="str">
        <f>"201511040592"</f>
        <v>201511040592</v>
      </c>
    </row>
    <row r="17513" spans="1:2" x14ac:dyDescent="0.25">
      <c r="A17513" s="4">
        <v>17508</v>
      </c>
      <c r="B17513" s="3" t="str">
        <f>"201511040609"</f>
        <v>201511040609</v>
      </c>
    </row>
    <row r="17514" spans="1:2" x14ac:dyDescent="0.25">
      <c r="A17514" s="4">
        <v>17509</v>
      </c>
      <c r="B17514" s="3" t="str">
        <f>"201511040616"</f>
        <v>201511040616</v>
      </c>
    </row>
    <row r="17515" spans="1:2" x14ac:dyDescent="0.25">
      <c r="A17515" s="4">
        <v>17510</v>
      </c>
      <c r="B17515" s="3" t="str">
        <f>"201511040618"</f>
        <v>201511040618</v>
      </c>
    </row>
    <row r="17516" spans="1:2" x14ac:dyDescent="0.25">
      <c r="A17516" s="4">
        <v>17511</v>
      </c>
      <c r="B17516" s="3" t="str">
        <f>"201511040689"</f>
        <v>201511040689</v>
      </c>
    </row>
    <row r="17517" spans="1:2" x14ac:dyDescent="0.25">
      <c r="A17517" s="4">
        <v>17512</v>
      </c>
      <c r="B17517" s="3" t="str">
        <f>"201511040693"</f>
        <v>201511040693</v>
      </c>
    </row>
    <row r="17518" spans="1:2" x14ac:dyDescent="0.25">
      <c r="A17518" s="4">
        <v>17513</v>
      </c>
      <c r="B17518" s="3" t="str">
        <f>"201511040698"</f>
        <v>201511040698</v>
      </c>
    </row>
    <row r="17519" spans="1:2" x14ac:dyDescent="0.25">
      <c r="A17519" s="4">
        <v>17514</v>
      </c>
      <c r="B17519" s="3" t="str">
        <f>"201511040699"</f>
        <v>201511040699</v>
      </c>
    </row>
    <row r="17520" spans="1:2" x14ac:dyDescent="0.25">
      <c r="A17520" s="4">
        <v>17515</v>
      </c>
      <c r="B17520" s="3" t="str">
        <f>"201511040737"</f>
        <v>201511040737</v>
      </c>
    </row>
    <row r="17521" spans="1:2" x14ac:dyDescent="0.25">
      <c r="A17521" s="4">
        <v>17516</v>
      </c>
      <c r="B17521" s="3" t="str">
        <f>"201511040753"</f>
        <v>201511040753</v>
      </c>
    </row>
    <row r="17522" spans="1:2" x14ac:dyDescent="0.25">
      <c r="A17522" s="4">
        <v>17517</v>
      </c>
      <c r="B17522" s="3" t="str">
        <f>"201511040764"</f>
        <v>201511040764</v>
      </c>
    </row>
    <row r="17523" spans="1:2" x14ac:dyDescent="0.25">
      <c r="A17523" s="4">
        <v>17518</v>
      </c>
      <c r="B17523" s="3" t="str">
        <f>"201511040806"</f>
        <v>201511040806</v>
      </c>
    </row>
    <row r="17524" spans="1:2" x14ac:dyDescent="0.25">
      <c r="A17524" s="4">
        <v>17519</v>
      </c>
      <c r="B17524" s="3" t="str">
        <f>"201511040826"</f>
        <v>201511040826</v>
      </c>
    </row>
    <row r="17525" spans="1:2" x14ac:dyDescent="0.25">
      <c r="A17525" s="4">
        <v>17520</v>
      </c>
      <c r="B17525" s="3" t="str">
        <f>"201511040836"</f>
        <v>201511040836</v>
      </c>
    </row>
    <row r="17526" spans="1:2" x14ac:dyDescent="0.25">
      <c r="A17526" s="4">
        <v>17521</v>
      </c>
      <c r="B17526" s="3" t="str">
        <f>"201511040843"</f>
        <v>201511040843</v>
      </c>
    </row>
    <row r="17527" spans="1:2" x14ac:dyDescent="0.25">
      <c r="A17527" s="4">
        <v>17522</v>
      </c>
      <c r="B17527" s="3" t="str">
        <f>"201511040862"</f>
        <v>201511040862</v>
      </c>
    </row>
    <row r="17528" spans="1:2" x14ac:dyDescent="0.25">
      <c r="A17528" s="4">
        <v>17523</v>
      </c>
      <c r="B17528" s="3" t="str">
        <f>"201511040869"</f>
        <v>201511040869</v>
      </c>
    </row>
    <row r="17529" spans="1:2" x14ac:dyDescent="0.25">
      <c r="A17529" s="4">
        <v>17524</v>
      </c>
      <c r="B17529" s="3" t="str">
        <f>"201511040878"</f>
        <v>201511040878</v>
      </c>
    </row>
    <row r="17530" spans="1:2" x14ac:dyDescent="0.25">
      <c r="A17530" s="4">
        <v>17525</v>
      </c>
      <c r="B17530" s="3" t="str">
        <f>"201511040880"</f>
        <v>201511040880</v>
      </c>
    </row>
    <row r="17531" spans="1:2" x14ac:dyDescent="0.25">
      <c r="A17531" s="4">
        <v>17526</v>
      </c>
      <c r="B17531" s="3" t="str">
        <f>"201511040884"</f>
        <v>201511040884</v>
      </c>
    </row>
    <row r="17532" spans="1:2" x14ac:dyDescent="0.25">
      <c r="A17532" s="4">
        <v>17527</v>
      </c>
      <c r="B17532" s="3" t="str">
        <f>"201511040885"</f>
        <v>201511040885</v>
      </c>
    </row>
    <row r="17533" spans="1:2" x14ac:dyDescent="0.25">
      <c r="A17533" s="4">
        <v>17528</v>
      </c>
      <c r="B17533" s="3" t="str">
        <f>"201511040905"</f>
        <v>201511040905</v>
      </c>
    </row>
    <row r="17534" spans="1:2" x14ac:dyDescent="0.25">
      <c r="A17534" s="4">
        <v>17529</v>
      </c>
      <c r="B17534" s="3" t="str">
        <f>"201511040907"</f>
        <v>201511040907</v>
      </c>
    </row>
    <row r="17535" spans="1:2" x14ac:dyDescent="0.25">
      <c r="A17535" s="4">
        <v>17530</v>
      </c>
      <c r="B17535" s="3" t="str">
        <f>"201511040908"</f>
        <v>201511040908</v>
      </c>
    </row>
    <row r="17536" spans="1:2" x14ac:dyDescent="0.25">
      <c r="A17536" s="4">
        <v>17531</v>
      </c>
      <c r="B17536" s="3" t="str">
        <f>"201511040910"</f>
        <v>201511040910</v>
      </c>
    </row>
    <row r="17537" spans="1:2" x14ac:dyDescent="0.25">
      <c r="A17537" s="4">
        <v>17532</v>
      </c>
      <c r="B17537" s="3" t="str">
        <f>"201511040913"</f>
        <v>201511040913</v>
      </c>
    </row>
    <row r="17538" spans="1:2" x14ac:dyDescent="0.25">
      <c r="A17538" s="4">
        <v>17533</v>
      </c>
      <c r="B17538" s="3" t="str">
        <f>"201511040916"</f>
        <v>201511040916</v>
      </c>
    </row>
    <row r="17539" spans="1:2" x14ac:dyDescent="0.25">
      <c r="A17539" s="4">
        <v>17534</v>
      </c>
      <c r="B17539" s="3" t="str">
        <f>"201511040924"</f>
        <v>201511040924</v>
      </c>
    </row>
    <row r="17540" spans="1:2" x14ac:dyDescent="0.25">
      <c r="A17540" s="4">
        <v>17535</v>
      </c>
      <c r="B17540" s="3" t="str">
        <f>"201511040928"</f>
        <v>201511040928</v>
      </c>
    </row>
    <row r="17541" spans="1:2" x14ac:dyDescent="0.25">
      <c r="A17541" s="4">
        <v>17536</v>
      </c>
      <c r="B17541" s="3" t="str">
        <f>"201511040933"</f>
        <v>201511040933</v>
      </c>
    </row>
    <row r="17542" spans="1:2" x14ac:dyDescent="0.25">
      <c r="A17542" s="4">
        <v>17537</v>
      </c>
      <c r="B17542" s="3" t="str">
        <f>"201511040934"</f>
        <v>201511040934</v>
      </c>
    </row>
    <row r="17543" spans="1:2" x14ac:dyDescent="0.25">
      <c r="A17543" s="4">
        <v>17538</v>
      </c>
      <c r="B17543" s="3" t="str">
        <f>"201511040946"</f>
        <v>201511040946</v>
      </c>
    </row>
    <row r="17544" spans="1:2" x14ac:dyDescent="0.25">
      <c r="A17544" s="4">
        <v>17539</v>
      </c>
      <c r="B17544" s="3" t="str">
        <f>"201511040955"</f>
        <v>201511040955</v>
      </c>
    </row>
    <row r="17545" spans="1:2" x14ac:dyDescent="0.25">
      <c r="A17545" s="4">
        <v>17540</v>
      </c>
      <c r="B17545" s="3" t="str">
        <f>"201511040962"</f>
        <v>201511040962</v>
      </c>
    </row>
    <row r="17546" spans="1:2" x14ac:dyDescent="0.25">
      <c r="A17546" s="4">
        <v>17541</v>
      </c>
      <c r="B17546" s="3" t="str">
        <f>"201511040963"</f>
        <v>201511040963</v>
      </c>
    </row>
    <row r="17547" spans="1:2" x14ac:dyDescent="0.25">
      <c r="A17547" s="4">
        <v>17542</v>
      </c>
      <c r="B17547" s="3" t="str">
        <f>"201511040970"</f>
        <v>201511040970</v>
      </c>
    </row>
    <row r="17548" spans="1:2" x14ac:dyDescent="0.25">
      <c r="A17548" s="4">
        <v>17543</v>
      </c>
      <c r="B17548" s="3" t="str">
        <f>"201511040980"</f>
        <v>201511040980</v>
      </c>
    </row>
    <row r="17549" spans="1:2" x14ac:dyDescent="0.25">
      <c r="A17549" s="4">
        <v>17544</v>
      </c>
      <c r="B17549" s="3" t="str">
        <f>"201511040982"</f>
        <v>201511040982</v>
      </c>
    </row>
    <row r="17550" spans="1:2" x14ac:dyDescent="0.25">
      <c r="A17550" s="4">
        <v>17545</v>
      </c>
      <c r="B17550" s="3" t="str">
        <f>"201511040986"</f>
        <v>201511040986</v>
      </c>
    </row>
    <row r="17551" spans="1:2" x14ac:dyDescent="0.25">
      <c r="A17551" s="4">
        <v>17546</v>
      </c>
      <c r="B17551" s="3" t="str">
        <f>"201511041000"</f>
        <v>201511041000</v>
      </c>
    </row>
    <row r="17552" spans="1:2" x14ac:dyDescent="0.25">
      <c r="A17552" s="4">
        <v>17547</v>
      </c>
      <c r="B17552" s="3" t="str">
        <f>"201511041017"</f>
        <v>201511041017</v>
      </c>
    </row>
    <row r="17553" spans="1:2" x14ac:dyDescent="0.25">
      <c r="A17553" s="4">
        <v>17548</v>
      </c>
      <c r="B17553" s="3" t="str">
        <f>"201511041019"</f>
        <v>201511041019</v>
      </c>
    </row>
    <row r="17554" spans="1:2" x14ac:dyDescent="0.25">
      <c r="A17554" s="4">
        <v>17549</v>
      </c>
      <c r="B17554" s="3" t="str">
        <f>"201511041037"</f>
        <v>201511041037</v>
      </c>
    </row>
    <row r="17555" spans="1:2" x14ac:dyDescent="0.25">
      <c r="A17555" s="4">
        <v>17550</v>
      </c>
      <c r="B17555" s="3" t="str">
        <f>"201511041063"</f>
        <v>201511041063</v>
      </c>
    </row>
    <row r="17556" spans="1:2" x14ac:dyDescent="0.25">
      <c r="A17556" s="4">
        <v>17551</v>
      </c>
      <c r="B17556" s="3" t="str">
        <f>"201511041072"</f>
        <v>201511041072</v>
      </c>
    </row>
    <row r="17557" spans="1:2" x14ac:dyDescent="0.25">
      <c r="A17557" s="4">
        <v>17552</v>
      </c>
      <c r="B17557" s="3" t="str">
        <f>"201511041080"</f>
        <v>201511041080</v>
      </c>
    </row>
    <row r="17558" spans="1:2" x14ac:dyDescent="0.25">
      <c r="A17558" s="4">
        <v>17553</v>
      </c>
      <c r="B17558" s="3" t="str">
        <f>"201511041082"</f>
        <v>201511041082</v>
      </c>
    </row>
    <row r="17559" spans="1:2" x14ac:dyDescent="0.25">
      <c r="A17559" s="4">
        <v>17554</v>
      </c>
      <c r="B17559" s="3" t="str">
        <f>"201511041099"</f>
        <v>201511041099</v>
      </c>
    </row>
    <row r="17560" spans="1:2" x14ac:dyDescent="0.25">
      <c r="A17560" s="4">
        <v>17555</v>
      </c>
      <c r="B17560" s="3" t="str">
        <f>"201511041100"</f>
        <v>201511041100</v>
      </c>
    </row>
    <row r="17561" spans="1:2" x14ac:dyDescent="0.25">
      <c r="A17561" s="4">
        <v>17556</v>
      </c>
      <c r="B17561" s="3" t="str">
        <f>"201511041141"</f>
        <v>201511041141</v>
      </c>
    </row>
    <row r="17562" spans="1:2" x14ac:dyDescent="0.25">
      <c r="A17562" s="4">
        <v>17557</v>
      </c>
      <c r="B17562" s="3" t="str">
        <f>"201511041161"</f>
        <v>201511041161</v>
      </c>
    </row>
    <row r="17563" spans="1:2" x14ac:dyDescent="0.25">
      <c r="A17563" s="4">
        <v>17558</v>
      </c>
      <c r="B17563" s="3" t="str">
        <f>"201511041165"</f>
        <v>201511041165</v>
      </c>
    </row>
    <row r="17564" spans="1:2" x14ac:dyDescent="0.25">
      <c r="A17564" s="4">
        <v>17559</v>
      </c>
      <c r="B17564" s="3" t="str">
        <f>"201511041183"</f>
        <v>201511041183</v>
      </c>
    </row>
    <row r="17565" spans="1:2" x14ac:dyDescent="0.25">
      <c r="A17565" s="4">
        <v>17560</v>
      </c>
      <c r="B17565" s="3" t="str">
        <f>"201511041184"</f>
        <v>201511041184</v>
      </c>
    </row>
    <row r="17566" spans="1:2" x14ac:dyDescent="0.25">
      <c r="A17566" s="4">
        <v>17561</v>
      </c>
      <c r="B17566" s="3" t="str">
        <f>"201511041197"</f>
        <v>201511041197</v>
      </c>
    </row>
    <row r="17567" spans="1:2" x14ac:dyDescent="0.25">
      <c r="A17567" s="4">
        <v>17562</v>
      </c>
      <c r="B17567" s="3" t="str">
        <f>"201511041228"</f>
        <v>201511041228</v>
      </c>
    </row>
    <row r="17568" spans="1:2" x14ac:dyDescent="0.25">
      <c r="A17568" s="4">
        <v>17563</v>
      </c>
      <c r="B17568" s="3" t="str">
        <f>"201511041233"</f>
        <v>201511041233</v>
      </c>
    </row>
    <row r="17569" spans="1:2" x14ac:dyDescent="0.25">
      <c r="A17569" s="4">
        <v>17564</v>
      </c>
      <c r="B17569" s="3" t="str">
        <f>"201511041263"</f>
        <v>201511041263</v>
      </c>
    </row>
    <row r="17570" spans="1:2" x14ac:dyDescent="0.25">
      <c r="A17570" s="4">
        <v>17565</v>
      </c>
      <c r="B17570" s="3" t="str">
        <f>"201511041276"</f>
        <v>201511041276</v>
      </c>
    </row>
    <row r="17571" spans="1:2" x14ac:dyDescent="0.25">
      <c r="A17571" s="4">
        <v>17566</v>
      </c>
      <c r="B17571" s="3" t="str">
        <f>"201511041295"</f>
        <v>201511041295</v>
      </c>
    </row>
    <row r="17572" spans="1:2" x14ac:dyDescent="0.25">
      <c r="A17572" s="4">
        <v>17567</v>
      </c>
      <c r="B17572" s="3" t="str">
        <f>"201511041310"</f>
        <v>201511041310</v>
      </c>
    </row>
    <row r="17573" spans="1:2" x14ac:dyDescent="0.25">
      <c r="A17573" s="4">
        <v>17568</v>
      </c>
      <c r="B17573" s="3" t="str">
        <f>"201511041326"</f>
        <v>201511041326</v>
      </c>
    </row>
    <row r="17574" spans="1:2" x14ac:dyDescent="0.25">
      <c r="A17574" s="4">
        <v>17569</v>
      </c>
      <c r="B17574" s="3" t="str">
        <f>"201511041327"</f>
        <v>201511041327</v>
      </c>
    </row>
    <row r="17575" spans="1:2" x14ac:dyDescent="0.25">
      <c r="A17575" s="4">
        <v>17570</v>
      </c>
      <c r="B17575" s="3" t="str">
        <f>"201511041334"</f>
        <v>201511041334</v>
      </c>
    </row>
    <row r="17576" spans="1:2" x14ac:dyDescent="0.25">
      <c r="A17576" s="4">
        <v>17571</v>
      </c>
      <c r="B17576" s="3" t="str">
        <f>"201511041337"</f>
        <v>201511041337</v>
      </c>
    </row>
    <row r="17577" spans="1:2" x14ac:dyDescent="0.25">
      <c r="A17577" s="4">
        <v>17572</v>
      </c>
      <c r="B17577" s="3" t="str">
        <f>"201511041342"</f>
        <v>201511041342</v>
      </c>
    </row>
    <row r="17578" spans="1:2" x14ac:dyDescent="0.25">
      <c r="A17578" s="4">
        <v>17573</v>
      </c>
      <c r="B17578" s="3" t="str">
        <f>"201511041348"</f>
        <v>201511041348</v>
      </c>
    </row>
    <row r="17579" spans="1:2" x14ac:dyDescent="0.25">
      <c r="A17579" s="4">
        <v>17574</v>
      </c>
      <c r="B17579" s="3" t="str">
        <f>"201511041361"</f>
        <v>201511041361</v>
      </c>
    </row>
    <row r="17580" spans="1:2" x14ac:dyDescent="0.25">
      <c r="A17580" s="4">
        <v>17575</v>
      </c>
      <c r="B17580" s="3" t="str">
        <f>"201511041370"</f>
        <v>201511041370</v>
      </c>
    </row>
    <row r="17581" spans="1:2" x14ac:dyDescent="0.25">
      <c r="A17581" s="4">
        <v>17576</v>
      </c>
      <c r="B17581" s="3" t="str">
        <f>"201511041371"</f>
        <v>201511041371</v>
      </c>
    </row>
    <row r="17582" spans="1:2" x14ac:dyDescent="0.25">
      <c r="A17582" s="4">
        <v>17577</v>
      </c>
      <c r="B17582" s="3" t="str">
        <f>"201511041399"</f>
        <v>201511041399</v>
      </c>
    </row>
    <row r="17583" spans="1:2" x14ac:dyDescent="0.25">
      <c r="A17583" s="4">
        <v>17578</v>
      </c>
      <c r="B17583" s="3" t="str">
        <f>"201511041418"</f>
        <v>201511041418</v>
      </c>
    </row>
    <row r="17584" spans="1:2" x14ac:dyDescent="0.25">
      <c r="A17584" s="4">
        <v>17579</v>
      </c>
      <c r="B17584" s="3" t="str">
        <f>"201511041424"</f>
        <v>201511041424</v>
      </c>
    </row>
    <row r="17585" spans="1:2" x14ac:dyDescent="0.25">
      <c r="A17585" s="4">
        <v>17580</v>
      </c>
      <c r="B17585" s="3" t="str">
        <f>"201511041439"</f>
        <v>201511041439</v>
      </c>
    </row>
    <row r="17586" spans="1:2" x14ac:dyDescent="0.25">
      <c r="A17586" s="4">
        <v>17581</v>
      </c>
      <c r="B17586" s="3" t="str">
        <f>"201511041469"</f>
        <v>201511041469</v>
      </c>
    </row>
    <row r="17587" spans="1:2" x14ac:dyDescent="0.25">
      <c r="A17587" s="4">
        <v>17582</v>
      </c>
      <c r="B17587" s="3" t="str">
        <f>"201511041475"</f>
        <v>201511041475</v>
      </c>
    </row>
    <row r="17588" spans="1:2" x14ac:dyDescent="0.25">
      <c r="A17588" s="4">
        <v>17583</v>
      </c>
      <c r="B17588" s="3" t="str">
        <f>"201511041483"</f>
        <v>201511041483</v>
      </c>
    </row>
    <row r="17589" spans="1:2" x14ac:dyDescent="0.25">
      <c r="A17589" s="4">
        <v>17584</v>
      </c>
      <c r="B17589" s="3" t="str">
        <f>"201511041488"</f>
        <v>201511041488</v>
      </c>
    </row>
    <row r="17590" spans="1:2" x14ac:dyDescent="0.25">
      <c r="A17590" s="4">
        <v>17585</v>
      </c>
      <c r="B17590" s="3" t="str">
        <f>"201511041505"</f>
        <v>201511041505</v>
      </c>
    </row>
    <row r="17591" spans="1:2" x14ac:dyDescent="0.25">
      <c r="A17591" s="4">
        <v>17586</v>
      </c>
      <c r="B17591" s="3" t="str">
        <f>"201511041527"</f>
        <v>201511041527</v>
      </c>
    </row>
    <row r="17592" spans="1:2" x14ac:dyDescent="0.25">
      <c r="A17592" s="4">
        <v>17587</v>
      </c>
      <c r="B17592" s="3" t="str">
        <f>"201511041530"</f>
        <v>201511041530</v>
      </c>
    </row>
    <row r="17593" spans="1:2" x14ac:dyDescent="0.25">
      <c r="A17593" s="4">
        <v>17588</v>
      </c>
      <c r="B17593" s="3" t="str">
        <f>"201511041532"</f>
        <v>201511041532</v>
      </c>
    </row>
    <row r="17594" spans="1:2" x14ac:dyDescent="0.25">
      <c r="A17594" s="4">
        <v>17589</v>
      </c>
      <c r="B17594" s="3" t="str">
        <f>"201511041540"</f>
        <v>201511041540</v>
      </c>
    </row>
    <row r="17595" spans="1:2" x14ac:dyDescent="0.25">
      <c r="A17595" s="4">
        <v>17590</v>
      </c>
      <c r="B17595" s="3" t="str">
        <f>"201511041567"</f>
        <v>201511041567</v>
      </c>
    </row>
    <row r="17596" spans="1:2" x14ac:dyDescent="0.25">
      <c r="A17596" s="4">
        <v>17591</v>
      </c>
      <c r="B17596" s="3" t="str">
        <f>"201511041597"</f>
        <v>201511041597</v>
      </c>
    </row>
    <row r="17597" spans="1:2" x14ac:dyDescent="0.25">
      <c r="A17597" s="4">
        <v>17592</v>
      </c>
      <c r="B17597" s="3" t="str">
        <f>"201511041598"</f>
        <v>201511041598</v>
      </c>
    </row>
    <row r="17598" spans="1:2" x14ac:dyDescent="0.25">
      <c r="A17598" s="4">
        <v>17593</v>
      </c>
      <c r="B17598" s="3" t="str">
        <f>"201511041606"</f>
        <v>201511041606</v>
      </c>
    </row>
    <row r="17599" spans="1:2" x14ac:dyDescent="0.25">
      <c r="A17599" s="4">
        <v>17594</v>
      </c>
      <c r="B17599" s="3" t="str">
        <f>"201511041609"</f>
        <v>201511041609</v>
      </c>
    </row>
    <row r="17600" spans="1:2" x14ac:dyDescent="0.25">
      <c r="A17600" s="4">
        <v>17595</v>
      </c>
      <c r="B17600" s="3" t="str">
        <f>"201511041623"</f>
        <v>201511041623</v>
      </c>
    </row>
    <row r="17601" spans="1:2" x14ac:dyDescent="0.25">
      <c r="A17601" s="4">
        <v>17596</v>
      </c>
      <c r="B17601" s="3" t="str">
        <f>"201511041632"</f>
        <v>201511041632</v>
      </c>
    </row>
    <row r="17602" spans="1:2" x14ac:dyDescent="0.25">
      <c r="A17602" s="4">
        <v>17597</v>
      </c>
      <c r="B17602" s="3" t="str">
        <f>"201511041637"</f>
        <v>201511041637</v>
      </c>
    </row>
    <row r="17603" spans="1:2" x14ac:dyDescent="0.25">
      <c r="A17603" s="4">
        <v>17598</v>
      </c>
      <c r="B17603" s="3" t="str">
        <f>"201511041643"</f>
        <v>201511041643</v>
      </c>
    </row>
    <row r="17604" spans="1:2" x14ac:dyDescent="0.25">
      <c r="A17604" s="4">
        <v>17599</v>
      </c>
      <c r="B17604" s="3" t="str">
        <f>"201511041670"</f>
        <v>201511041670</v>
      </c>
    </row>
    <row r="17605" spans="1:2" x14ac:dyDescent="0.25">
      <c r="A17605" s="4">
        <v>17600</v>
      </c>
      <c r="B17605" s="3" t="str">
        <f>"201511041688"</f>
        <v>201511041688</v>
      </c>
    </row>
    <row r="17606" spans="1:2" x14ac:dyDescent="0.25">
      <c r="A17606" s="4">
        <v>17601</v>
      </c>
      <c r="B17606" s="3" t="str">
        <f>"201511041693"</f>
        <v>201511041693</v>
      </c>
    </row>
    <row r="17607" spans="1:2" x14ac:dyDescent="0.25">
      <c r="A17607" s="4">
        <v>17602</v>
      </c>
      <c r="B17607" s="3" t="str">
        <f>"201511041710"</f>
        <v>201511041710</v>
      </c>
    </row>
    <row r="17608" spans="1:2" x14ac:dyDescent="0.25">
      <c r="A17608" s="4">
        <v>17603</v>
      </c>
      <c r="B17608" s="3" t="str">
        <f>"201511041733"</f>
        <v>201511041733</v>
      </c>
    </row>
    <row r="17609" spans="1:2" x14ac:dyDescent="0.25">
      <c r="A17609" s="4">
        <v>17604</v>
      </c>
      <c r="B17609" s="3" t="str">
        <f>"201511041735"</f>
        <v>201511041735</v>
      </c>
    </row>
    <row r="17610" spans="1:2" x14ac:dyDescent="0.25">
      <c r="A17610" s="4">
        <v>17605</v>
      </c>
      <c r="B17610" s="3" t="str">
        <f>"201511041752"</f>
        <v>201511041752</v>
      </c>
    </row>
    <row r="17611" spans="1:2" x14ac:dyDescent="0.25">
      <c r="A17611" s="4">
        <v>17606</v>
      </c>
      <c r="B17611" s="3" t="str">
        <f>"201511041753"</f>
        <v>201511041753</v>
      </c>
    </row>
    <row r="17612" spans="1:2" x14ac:dyDescent="0.25">
      <c r="A17612" s="4">
        <v>17607</v>
      </c>
      <c r="B17612" s="3" t="str">
        <f>"201511041754"</f>
        <v>201511041754</v>
      </c>
    </row>
    <row r="17613" spans="1:2" x14ac:dyDescent="0.25">
      <c r="A17613" s="4">
        <v>17608</v>
      </c>
      <c r="B17613" s="3" t="str">
        <f>"201511041770"</f>
        <v>201511041770</v>
      </c>
    </row>
    <row r="17614" spans="1:2" x14ac:dyDescent="0.25">
      <c r="A17614" s="4">
        <v>17609</v>
      </c>
      <c r="B17614" s="3" t="str">
        <f>"201511041780"</f>
        <v>201511041780</v>
      </c>
    </row>
    <row r="17615" spans="1:2" x14ac:dyDescent="0.25">
      <c r="A17615" s="4">
        <v>17610</v>
      </c>
      <c r="B17615" s="3" t="str">
        <f>"201511041804"</f>
        <v>201511041804</v>
      </c>
    </row>
    <row r="17616" spans="1:2" x14ac:dyDescent="0.25">
      <c r="A17616" s="4">
        <v>17611</v>
      </c>
      <c r="B17616" s="3" t="str">
        <f>"201511041821"</f>
        <v>201511041821</v>
      </c>
    </row>
    <row r="17617" spans="1:2" x14ac:dyDescent="0.25">
      <c r="A17617" s="4">
        <v>17612</v>
      </c>
      <c r="B17617" s="3" t="str">
        <f>"201511041842"</f>
        <v>201511041842</v>
      </c>
    </row>
    <row r="17618" spans="1:2" x14ac:dyDescent="0.25">
      <c r="A17618" s="4">
        <v>17613</v>
      </c>
      <c r="B17618" s="3" t="str">
        <f>"201511041870"</f>
        <v>201511041870</v>
      </c>
    </row>
    <row r="17619" spans="1:2" x14ac:dyDescent="0.25">
      <c r="A17619" s="4">
        <v>17614</v>
      </c>
      <c r="B17619" s="3" t="str">
        <f>"201511041874"</f>
        <v>201511041874</v>
      </c>
    </row>
    <row r="17620" spans="1:2" x14ac:dyDescent="0.25">
      <c r="A17620" s="4">
        <v>17615</v>
      </c>
      <c r="B17620" s="3" t="str">
        <f>"201511041876"</f>
        <v>201511041876</v>
      </c>
    </row>
    <row r="17621" spans="1:2" x14ac:dyDescent="0.25">
      <c r="A17621" s="4">
        <v>17616</v>
      </c>
      <c r="B17621" s="3" t="str">
        <f>"201511041885"</f>
        <v>201511041885</v>
      </c>
    </row>
    <row r="17622" spans="1:2" x14ac:dyDescent="0.25">
      <c r="A17622" s="4">
        <v>17617</v>
      </c>
      <c r="B17622" s="3" t="str">
        <f>"201511041894"</f>
        <v>201511041894</v>
      </c>
    </row>
    <row r="17623" spans="1:2" x14ac:dyDescent="0.25">
      <c r="A17623" s="4">
        <v>17618</v>
      </c>
      <c r="B17623" s="3" t="str">
        <f>"201511041898"</f>
        <v>201511041898</v>
      </c>
    </row>
    <row r="17624" spans="1:2" x14ac:dyDescent="0.25">
      <c r="A17624" s="4">
        <v>17619</v>
      </c>
      <c r="B17624" s="3" t="str">
        <f>"201511041901"</f>
        <v>201511041901</v>
      </c>
    </row>
    <row r="17625" spans="1:2" x14ac:dyDescent="0.25">
      <c r="A17625" s="4">
        <v>17620</v>
      </c>
      <c r="B17625" s="3" t="str">
        <f>"201511041902"</f>
        <v>201511041902</v>
      </c>
    </row>
    <row r="17626" spans="1:2" x14ac:dyDescent="0.25">
      <c r="A17626" s="4">
        <v>17621</v>
      </c>
      <c r="B17626" s="3" t="str">
        <f>"201511041912"</f>
        <v>201511041912</v>
      </c>
    </row>
    <row r="17627" spans="1:2" x14ac:dyDescent="0.25">
      <c r="A17627" s="4">
        <v>17622</v>
      </c>
      <c r="B17627" s="3" t="str">
        <f>"201511041915"</f>
        <v>201511041915</v>
      </c>
    </row>
    <row r="17628" spans="1:2" x14ac:dyDescent="0.25">
      <c r="A17628" s="4">
        <v>17623</v>
      </c>
      <c r="B17628" s="3" t="str">
        <f>"201511041923"</f>
        <v>201511041923</v>
      </c>
    </row>
    <row r="17629" spans="1:2" x14ac:dyDescent="0.25">
      <c r="A17629" s="4">
        <v>17624</v>
      </c>
      <c r="B17629" s="3" t="str">
        <f>"201511041944"</f>
        <v>201511041944</v>
      </c>
    </row>
    <row r="17630" spans="1:2" x14ac:dyDescent="0.25">
      <c r="A17630" s="4">
        <v>17625</v>
      </c>
      <c r="B17630" s="3" t="str">
        <f>"201511041967"</f>
        <v>201511041967</v>
      </c>
    </row>
    <row r="17631" spans="1:2" x14ac:dyDescent="0.25">
      <c r="A17631" s="4">
        <v>17626</v>
      </c>
      <c r="B17631" s="3" t="str">
        <f>"201511041971"</f>
        <v>201511041971</v>
      </c>
    </row>
    <row r="17632" spans="1:2" x14ac:dyDescent="0.25">
      <c r="A17632" s="4">
        <v>17627</v>
      </c>
      <c r="B17632" s="3" t="str">
        <f>"201511041972"</f>
        <v>201511041972</v>
      </c>
    </row>
    <row r="17633" spans="1:2" x14ac:dyDescent="0.25">
      <c r="A17633" s="4">
        <v>17628</v>
      </c>
      <c r="B17633" s="3" t="str">
        <f>"201511041975"</f>
        <v>201511041975</v>
      </c>
    </row>
    <row r="17634" spans="1:2" x14ac:dyDescent="0.25">
      <c r="A17634" s="4">
        <v>17629</v>
      </c>
      <c r="B17634" s="3" t="str">
        <f>"201511041990"</f>
        <v>201511041990</v>
      </c>
    </row>
    <row r="17635" spans="1:2" x14ac:dyDescent="0.25">
      <c r="A17635" s="4">
        <v>17630</v>
      </c>
      <c r="B17635" s="3" t="str">
        <f>"201511042000"</f>
        <v>201511042000</v>
      </c>
    </row>
    <row r="17636" spans="1:2" x14ac:dyDescent="0.25">
      <c r="A17636" s="4">
        <v>17631</v>
      </c>
      <c r="B17636" s="3" t="str">
        <f>"201511042007"</f>
        <v>201511042007</v>
      </c>
    </row>
    <row r="17637" spans="1:2" x14ac:dyDescent="0.25">
      <c r="A17637" s="4">
        <v>17632</v>
      </c>
      <c r="B17637" s="3" t="str">
        <f>"201511042022"</f>
        <v>201511042022</v>
      </c>
    </row>
    <row r="17638" spans="1:2" x14ac:dyDescent="0.25">
      <c r="A17638" s="4">
        <v>17633</v>
      </c>
      <c r="B17638" s="3" t="str">
        <f>"201511042031"</f>
        <v>201511042031</v>
      </c>
    </row>
    <row r="17639" spans="1:2" x14ac:dyDescent="0.25">
      <c r="A17639" s="4">
        <v>17634</v>
      </c>
      <c r="B17639" s="3" t="str">
        <f>"201511042037"</f>
        <v>201511042037</v>
      </c>
    </row>
    <row r="17640" spans="1:2" x14ac:dyDescent="0.25">
      <c r="A17640" s="4">
        <v>17635</v>
      </c>
      <c r="B17640" s="3" t="str">
        <f>"201511042051"</f>
        <v>201511042051</v>
      </c>
    </row>
    <row r="17641" spans="1:2" x14ac:dyDescent="0.25">
      <c r="A17641" s="4">
        <v>17636</v>
      </c>
      <c r="B17641" s="3" t="str">
        <f>"201511042059"</f>
        <v>201511042059</v>
      </c>
    </row>
    <row r="17642" spans="1:2" x14ac:dyDescent="0.25">
      <c r="A17642" s="4">
        <v>17637</v>
      </c>
      <c r="B17642" s="3" t="str">
        <f>"201511042081"</f>
        <v>201511042081</v>
      </c>
    </row>
    <row r="17643" spans="1:2" x14ac:dyDescent="0.25">
      <c r="A17643" s="4">
        <v>17638</v>
      </c>
      <c r="B17643" s="3" t="str">
        <f>"201511042084"</f>
        <v>201511042084</v>
      </c>
    </row>
    <row r="17644" spans="1:2" x14ac:dyDescent="0.25">
      <c r="A17644" s="4">
        <v>17639</v>
      </c>
      <c r="B17644" s="3" t="str">
        <f>"201511042096"</f>
        <v>201511042096</v>
      </c>
    </row>
    <row r="17645" spans="1:2" x14ac:dyDescent="0.25">
      <c r="A17645" s="4">
        <v>17640</v>
      </c>
      <c r="B17645" s="3" t="str">
        <f>"201511042111"</f>
        <v>201511042111</v>
      </c>
    </row>
    <row r="17646" spans="1:2" x14ac:dyDescent="0.25">
      <c r="A17646" s="4">
        <v>17641</v>
      </c>
      <c r="B17646" s="3" t="str">
        <f>"201511042121"</f>
        <v>201511042121</v>
      </c>
    </row>
    <row r="17647" spans="1:2" x14ac:dyDescent="0.25">
      <c r="A17647" s="4">
        <v>17642</v>
      </c>
      <c r="B17647" s="3" t="str">
        <f>"201511042142"</f>
        <v>201511042142</v>
      </c>
    </row>
    <row r="17648" spans="1:2" x14ac:dyDescent="0.25">
      <c r="A17648" s="4">
        <v>17643</v>
      </c>
      <c r="B17648" s="3" t="str">
        <f>"201511042156"</f>
        <v>201511042156</v>
      </c>
    </row>
    <row r="17649" spans="1:2" x14ac:dyDescent="0.25">
      <c r="A17649" s="4">
        <v>17644</v>
      </c>
      <c r="B17649" s="3" t="str">
        <f>"201511042166"</f>
        <v>201511042166</v>
      </c>
    </row>
    <row r="17650" spans="1:2" x14ac:dyDescent="0.25">
      <c r="A17650" s="4">
        <v>17645</v>
      </c>
      <c r="B17650" s="3" t="str">
        <f>"201511042174"</f>
        <v>201511042174</v>
      </c>
    </row>
    <row r="17651" spans="1:2" x14ac:dyDescent="0.25">
      <c r="A17651" s="4">
        <v>17646</v>
      </c>
      <c r="B17651" s="3" t="str">
        <f>"201511042188"</f>
        <v>201511042188</v>
      </c>
    </row>
    <row r="17652" spans="1:2" x14ac:dyDescent="0.25">
      <c r="A17652" s="4">
        <v>17647</v>
      </c>
      <c r="B17652" s="3" t="str">
        <f>"201511042192"</f>
        <v>201511042192</v>
      </c>
    </row>
    <row r="17653" spans="1:2" x14ac:dyDescent="0.25">
      <c r="A17653" s="4">
        <v>17648</v>
      </c>
      <c r="B17653" s="3" t="str">
        <f>"201511042200"</f>
        <v>201511042200</v>
      </c>
    </row>
    <row r="17654" spans="1:2" x14ac:dyDescent="0.25">
      <c r="A17654" s="4">
        <v>17649</v>
      </c>
      <c r="B17654" s="3" t="str">
        <f>"201511042206"</f>
        <v>201511042206</v>
      </c>
    </row>
    <row r="17655" spans="1:2" x14ac:dyDescent="0.25">
      <c r="A17655" s="4">
        <v>17650</v>
      </c>
      <c r="B17655" s="3" t="str">
        <f>"201511042215"</f>
        <v>201511042215</v>
      </c>
    </row>
    <row r="17656" spans="1:2" x14ac:dyDescent="0.25">
      <c r="A17656" s="4">
        <v>17651</v>
      </c>
      <c r="B17656" s="3" t="str">
        <f>"201511042243"</f>
        <v>201511042243</v>
      </c>
    </row>
    <row r="17657" spans="1:2" x14ac:dyDescent="0.25">
      <c r="A17657" s="4">
        <v>17652</v>
      </c>
      <c r="B17657" s="3" t="str">
        <f>"201511042264"</f>
        <v>201511042264</v>
      </c>
    </row>
    <row r="17658" spans="1:2" x14ac:dyDescent="0.25">
      <c r="A17658" s="4">
        <v>17653</v>
      </c>
      <c r="B17658" s="3" t="str">
        <f>"201511042288"</f>
        <v>201511042288</v>
      </c>
    </row>
    <row r="17659" spans="1:2" x14ac:dyDescent="0.25">
      <c r="A17659" s="4">
        <v>17654</v>
      </c>
      <c r="B17659" s="3" t="str">
        <f>"201511042295"</f>
        <v>201511042295</v>
      </c>
    </row>
    <row r="17660" spans="1:2" x14ac:dyDescent="0.25">
      <c r="A17660" s="4">
        <v>17655</v>
      </c>
      <c r="B17660" s="3" t="str">
        <f>"201511042300"</f>
        <v>201511042300</v>
      </c>
    </row>
    <row r="17661" spans="1:2" x14ac:dyDescent="0.25">
      <c r="A17661" s="4">
        <v>17656</v>
      </c>
      <c r="B17661" s="3" t="str">
        <f>"201511042305"</f>
        <v>201511042305</v>
      </c>
    </row>
    <row r="17662" spans="1:2" x14ac:dyDescent="0.25">
      <c r="A17662" s="4">
        <v>17657</v>
      </c>
      <c r="B17662" s="3" t="str">
        <f>"201511042330"</f>
        <v>201511042330</v>
      </c>
    </row>
    <row r="17663" spans="1:2" x14ac:dyDescent="0.25">
      <c r="A17663" s="4">
        <v>17658</v>
      </c>
      <c r="B17663" s="3" t="str">
        <f>"201511042373"</f>
        <v>201511042373</v>
      </c>
    </row>
    <row r="17664" spans="1:2" x14ac:dyDescent="0.25">
      <c r="A17664" s="4">
        <v>17659</v>
      </c>
      <c r="B17664" s="3" t="str">
        <f>"201511042402"</f>
        <v>201511042402</v>
      </c>
    </row>
    <row r="17665" spans="1:2" x14ac:dyDescent="0.25">
      <c r="A17665" s="4">
        <v>17660</v>
      </c>
      <c r="B17665" s="3" t="str">
        <f>"201511042405"</f>
        <v>201511042405</v>
      </c>
    </row>
    <row r="17666" spans="1:2" x14ac:dyDescent="0.25">
      <c r="A17666" s="4">
        <v>17661</v>
      </c>
      <c r="B17666" s="3" t="str">
        <f>"201511042411"</f>
        <v>201511042411</v>
      </c>
    </row>
    <row r="17667" spans="1:2" x14ac:dyDescent="0.25">
      <c r="A17667" s="4">
        <v>17662</v>
      </c>
      <c r="B17667" s="3" t="str">
        <f>"201511042415"</f>
        <v>201511042415</v>
      </c>
    </row>
    <row r="17668" spans="1:2" x14ac:dyDescent="0.25">
      <c r="A17668" s="4">
        <v>17663</v>
      </c>
      <c r="B17668" s="3" t="str">
        <f>"201511042437"</f>
        <v>201511042437</v>
      </c>
    </row>
    <row r="17669" spans="1:2" x14ac:dyDescent="0.25">
      <c r="A17669" s="4">
        <v>17664</v>
      </c>
      <c r="B17669" s="3" t="str">
        <f>"201511042441"</f>
        <v>201511042441</v>
      </c>
    </row>
    <row r="17670" spans="1:2" x14ac:dyDescent="0.25">
      <c r="A17670" s="4">
        <v>17665</v>
      </c>
      <c r="B17670" s="3" t="str">
        <f>"201511042458"</f>
        <v>201511042458</v>
      </c>
    </row>
    <row r="17671" spans="1:2" x14ac:dyDescent="0.25">
      <c r="A17671" s="4">
        <v>17666</v>
      </c>
      <c r="B17671" s="3" t="str">
        <f>"201511042484"</f>
        <v>201511042484</v>
      </c>
    </row>
    <row r="17672" spans="1:2" x14ac:dyDescent="0.25">
      <c r="A17672" s="4">
        <v>17667</v>
      </c>
      <c r="B17672" s="3" t="str">
        <f>"201511042491"</f>
        <v>201511042491</v>
      </c>
    </row>
    <row r="17673" spans="1:2" x14ac:dyDescent="0.25">
      <c r="A17673" s="4">
        <v>17668</v>
      </c>
      <c r="B17673" s="3" t="str">
        <f>"201511042533"</f>
        <v>201511042533</v>
      </c>
    </row>
    <row r="17674" spans="1:2" x14ac:dyDescent="0.25">
      <c r="A17674" s="4">
        <v>17669</v>
      </c>
      <c r="B17674" s="3" t="str">
        <f>"201511042561"</f>
        <v>201511042561</v>
      </c>
    </row>
    <row r="17675" spans="1:2" x14ac:dyDescent="0.25">
      <c r="A17675" s="4">
        <v>17670</v>
      </c>
      <c r="B17675" s="3" t="str">
        <f>"201511042563"</f>
        <v>201511042563</v>
      </c>
    </row>
    <row r="17676" spans="1:2" x14ac:dyDescent="0.25">
      <c r="A17676" s="4">
        <v>17671</v>
      </c>
      <c r="B17676" s="3" t="str">
        <f>"201511042585"</f>
        <v>201511042585</v>
      </c>
    </row>
    <row r="17677" spans="1:2" x14ac:dyDescent="0.25">
      <c r="A17677" s="4">
        <v>17672</v>
      </c>
      <c r="B17677" s="3" t="str">
        <f>"201511042586"</f>
        <v>201511042586</v>
      </c>
    </row>
    <row r="17678" spans="1:2" x14ac:dyDescent="0.25">
      <c r="A17678" s="4">
        <v>17673</v>
      </c>
      <c r="B17678" s="3" t="str">
        <f>"201511042649"</f>
        <v>201511042649</v>
      </c>
    </row>
    <row r="17679" spans="1:2" x14ac:dyDescent="0.25">
      <c r="A17679" s="4">
        <v>17674</v>
      </c>
      <c r="B17679" s="3" t="str">
        <f>"201511042696"</f>
        <v>201511042696</v>
      </c>
    </row>
    <row r="17680" spans="1:2" x14ac:dyDescent="0.25">
      <c r="A17680" s="4">
        <v>17675</v>
      </c>
      <c r="B17680" s="3" t="str">
        <f>"201511042722"</f>
        <v>201511042722</v>
      </c>
    </row>
    <row r="17681" spans="1:2" x14ac:dyDescent="0.25">
      <c r="A17681" s="4">
        <v>17676</v>
      </c>
      <c r="B17681" s="3" t="str">
        <f>"201511042761"</f>
        <v>201511042761</v>
      </c>
    </row>
    <row r="17682" spans="1:2" x14ac:dyDescent="0.25">
      <c r="A17682" s="4">
        <v>17677</v>
      </c>
      <c r="B17682" s="3" t="str">
        <f>"201511042789"</f>
        <v>201511042789</v>
      </c>
    </row>
    <row r="17683" spans="1:2" x14ac:dyDescent="0.25">
      <c r="A17683" s="4">
        <v>17678</v>
      </c>
      <c r="B17683" s="3" t="str">
        <f>"201511042803"</f>
        <v>201511042803</v>
      </c>
    </row>
    <row r="17684" spans="1:2" x14ac:dyDescent="0.25">
      <c r="A17684" s="4">
        <v>17679</v>
      </c>
      <c r="B17684" s="3" t="str">
        <f>"201511042812"</f>
        <v>201511042812</v>
      </c>
    </row>
    <row r="17685" spans="1:2" x14ac:dyDescent="0.25">
      <c r="A17685" s="4">
        <v>17680</v>
      </c>
      <c r="B17685" s="3" t="str">
        <f>"201511042820"</f>
        <v>201511042820</v>
      </c>
    </row>
    <row r="17686" spans="1:2" x14ac:dyDescent="0.25">
      <c r="A17686" s="4">
        <v>17681</v>
      </c>
      <c r="B17686" s="3" t="str">
        <f>"201511042837"</f>
        <v>201511042837</v>
      </c>
    </row>
    <row r="17687" spans="1:2" x14ac:dyDescent="0.25">
      <c r="A17687" s="4">
        <v>17682</v>
      </c>
      <c r="B17687" s="3" t="str">
        <f>"201511042840"</f>
        <v>201511042840</v>
      </c>
    </row>
    <row r="17688" spans="1:2" x14ac:dyDescent="0.25">
      <c r="A17688" s="4">
        <v>17683</v>
      </c>
      <c r="B17688" s="3" t="str">
        <f>"201511042878"</f>
        <v>201511042878</v>
      </c>
    </row>
    <row r="17689" spans="1:2" x14ac:dyDescent="0.25">
      <c r="A17689" s="4">
        <v>17684</v>
      </c>
      <c r="B17689" s="3" t="str">
        <f>"201511042888"</f>
        <v>201511042888</v>
      </c>
    </row>
    <row r="17690" spans="1:2" x14ac:dyDescent="0.25">
      <c r="A17690" s="4">
        <v>17685</v>
      </c>
      <c r="B17690" s="3" t="str">
        <f>"201511042914"</f>
        <v>201511042914</v>
      </c>
    </row>
    <row r="17691" spans="1:2" x14ac:dyDescent="0.25">
      <c r="A17691" s="4">
        <v>17686</v>
      </c>
      <c r="B17691" s="3" t="str">
        <f>"201511042920"</f>
        <v>201511042920</v>
      </c>
    </row>
    <row r="17692" spans="1:2" x14ac:dyDescent="0.25">
      <c r="A17692" s="4">
        <v>17687</v>
      </c>
      <c r="B17692" s="3" t="str">
        <f>"201511042928"</f>
        <v>201511042928</v>
      </c>
    </row>
    <row r="17693" spans="1:2" x14ac:dyDescent="0.25">
      <c r="A17693" s="4">
        <v>17688</v>
      </c>
      <c r="B17693" s="3" t="str">
        <f>"201511042930"</f>
        <v>201511042930</v>
      </c>
    </row>
    <row r="17694" spans="1:2" x14ac:dyDescent="0.25">
      <c r="A17694" s="4">
        <v>17689</v>
      </c>
      <c r="B17694" s="3" t="str">
        <f>"201511042948"</f>
        <v>201511042948</v>
      </c>
    </row>
    <row r="17695" spans="1:2" x14ac:dyDescent="0.25">
      <c r="A17695" s="4">
        <v>17690</v>
      </c>
      <c r="B17695" s="3" t="str">
        <f>"201511043015"</f>
        <v>201511043015</v>
      </c>
    </row>
    <row r="17696" spans="1:2" x14ac:dyDescent="0.25">
      <c r="A17696" s="4">
        <v>17691</v>
      </c>
      <c r="B17696" s="3" t="str">
        <f>"201511043016"</f>
        <v>201511043016</v>
      </c>
    </row>
    <row r="17697" spans="1:2" x14ac:dyDescent="0.25">
      <c r="A17697" s="4">
        <v>17692</v>
      </c>
      <c r="B17697" s="3" t="str">
        <f>"201511043033"</f>
        <v>201511043033</v>
      </c>
    </row>
    <row r="17698" spans="1:2" x14ac:dyDescent="0.25">
      <c r="A17698" s="4">
        <v>17693</v>
      </c>
      <c r="B17698" s="3" t="str">
        <f>"201511043046"</f>
        <v>201511043046</v>
      </c>
    </row>
    <row r="17699" spans="1:2" x14ac:dyDescent="0.25">
      <c r="A17699" s="4">
        <v>17694</v>
      </c>
      <c r="B17699" s="3" t="str">
        <f>"201511043051"</f>
        <v>201511043051</v>
      </c>
    </row>
    <row r="17700" spans="1:2" x14ac:dyDescent="0.25">
      <c r="A17700" s="4">
        <v>17695</v>
      </c>
      <c r="B17700" s="3" t="str">
        <f>"201511043106"</f>
        <v>201511043106</v>
      </c>
    </row>
    <row r="17701" spans="1:2" x14ac:dyDescent="0.25">
      <c r="A17701" s="4">
        <v>17696</v>
      </c>
      <c r="B17701" s="3" t="str">
        <f>"201511043109"</f>
        <v>201511043109</v>
      </c>
    </row>
    <row r="17702" spans="1:2" x14ac:dyDescent="0.25">
      <c r="A17702" s="4">
        <v>17697</v>
      </c>
      <c r="B17702" s="3" t="str">
        <f>"201511043111"</f>
        <v>201511043111</v>
      </c>
    </row>
    <row r="17703" spans="1:2" x14ac:dyDescent="0.25">
      <c r="A17703" s="4">
        <v>17698</v>
      </c>
      <c r="B17703" s="3" t="str">
        <f>"201511043162"</f>
        <v>201511043162</v>
      </c>
    </row>
    <row r="17704" spans="1:2" x14ac:dyDescent="0.25">
      <c r="A17704" s="4">
        <v>17699</v>
      </c>
      <c r="B17704" s="3" t="str">
        <f>"201511043174"</f>
        <v>201511043174</v>
      </c>
    </row>
    <row r="17705" spans="1:2" x14ac:dyDescent="0.25">
      <c r="A17705" s="4">
        <v>17700</v>
      </c>
      <c r="B17705" s="3" t="str">
        <f>"201511043189"</f>
        <v>201511043189</v>
      </c>
    </row>
    <row r="17706" spans="1:2" x14ac:dyDescent="0.25">
      <c r="A17706" s="4">
        <v>17701</v>
      </c>
      <c r="B17706" s="3" t="str">
        <f>"201511043191"</f>
        <v>201511043191</v>
      </c>
    </row>
    <row r="17707" spans="1:2" x14ac:dyDescent="0.25">
      <c r="A17707" s="4">
        <v>17702</v>
      </c>
      <c r="B17707" s="3" t="str">
        <f>"201511043196"</f>
        <v>201511043196</v>
      </c>
    </row>
    <row r="17708" spans="1:2" x14ac:dyDescent="0.25">
      <c r="A17708" s="4">
        <v>17703</v>
      </c>
      <c r="B17708" s="3" t="str">
        <f>"201511043205"</f>
        <v>201511043205</v>
      </c>
    </row>
    <row r="17709" spans="1:2" x14ac:dyDescent="0.25">
      <c r="A17709" s="4">
        <v>17704</v>
      </c>
      <c r="B17709" s="3" t="str">
        <f>"201511043231"</f>
        <v>201511043231</v>
      </c>
    </row>
    <row r="17710" spans="1:2" x14ac:dyDescent="0.25">
      <c r="A17710" s="4">
        <v>17705</v>
      </c>
      <c r="B17710" s="3" t="str">
        <f>"201511043260"</f>
        <v>201511043260</v>
      </c>
    </row>
    <row r="17711" spans="1:2" x14ac:dyDescent="0.25">
      <c r="A17711" s="4">
        <v>17706</v>
      </c>
      <c r="B17711" s="3" t="str">
        <f>"201511043278"</f>
        <v>201511043278</v>
      </c>
    </row>
    <row r="17712" spans="1:2" x14ac:dyDescent="0.25">
      <c r="A17712" s="4">
        <v>17707</v>
      </c>
      <c r="B17712" s="3" t="str">
        <f>"201511043288"</f>
        <v>201511043288</v>
      </c>
    </row>
    <row r="17713" spans="1:2" x14ac:dyDescent="0.25">
      <c r="A17713" s="4">
        <v>17708</v>
      </c>
      <c r="B17713" s="3" t="str">
        <f>"201511043320"</f>
        <v>201511043320</v>
      </c>
    </row>
    <row r="17714" spans="1:2" x14ac:dyDescent="0.25">
      <c r="A17714" s="4">
        <v>17709</v>
      </c>
      <c r="B17714" s="3" t="str">
        <f>"201511043329"</f>
        <v>201511043329</v>
      </c>
    </row>
    <row r="17715" spans="1:2" x14ac:dyDescent="0.25">
      <c r="A17715" s="4">
        <v>17710</v>
      </c>
      <c r="B17715" s="3" t="str">
        <f>"201511043346"</f>
        <v>201511043346</v>
      </c>
    </row>
    <row r="17716" spans="1:2" x14ac:dyDescent="0.25">
      <c r="A17716" s="4">
        <v>17711</v>
      </c>
      <c r="B17716" s="3" t="str">
        <f>"201511043362"</f>
        <v>201511043362</v>
      </c>
    </row>
    <row r="17717" spans="1:2" x14ac:dyDescent="0.25">
      <c r="A17717" s="4">
        <v>17712</v>
      </c>
      <c r="B17717" s="3" t="str">
        <f>"201511043366"</f>
        <v>201511043366</v>
      </c>
    </row>
    <row r="17718" spans="1:2" x14ac:dyDescent="0.25">
      <c r="A17718" s="4">
        <v>17713</v>
      </c>
      <c r="B17718" s="3" t="str">
        <f>"201511043373"</f>
        <v>201511043373</v>
      </c>
    </row>
    <row r="17719" spans="1:2" x14ac:dyDescent="0.25">
      <c r="A17719" s="4">
        <v>17714</v>
      </c>
      <c r="B17719" s="3" t="str">
        <f>"201511043378"</f>
        <v>201511043378</v>
      </c>
    </row>
    <row r="17720" spans="1:2" x14ac:dyDescent="0.25">
      <c r="A17720" s="4">
        <v>17715</v>
      </c>
      <c r="B17720" s="3" t="str">
        <f>"201511043401"</f>
        <v>201511043401</v>
      </c>
    </row>
    <row r="17721" spans="1:2" x14ac:dyDescent="0.25">
      <c r="A17721" s="4">
        <v>17716</v>
      </c>
      <c r="B17721" s="3" t="str">
        <f>"201511043408"</f>
        <v>201511043408</v>
      </c>
    </row>
    <row r="17722" spans="1:2" x14ac:dyDescent="0.25">
      <c r="A17722" s="4">
        <v>17717</v>
      </c>
      <c r="B17722" s="3" t="str">
        <f>"201511043423"</f>
        <v>201511043423</v>
      </c>
    </row>
    <row r="17723" spans="1:2" x14ac:dyDescent="0.25">
      <c r="A17723" s="4">
        <v>17718</v>
      </c>
      <c r="B17723" s="3" t="str">
        <f>"201511043428"</f>
        <v>201511043428</v>
      </c>
    </row>
    <row r="17724" spans="1:2" x14ac:dyDescent="0.25">
      <c r="A17724" s="4">
        <v>17719</v>
      </c>
      <c r="B17724" s="3" t="str">
        <f>"201511043458"</f>
        <v>201511043458</v>
      </c>
    </row>
    <row r="17725" spans="1:2" x14ac:dyDescent="0.25">
      <c r="A17725" s="4">
        <v>17720</v>
      </c>
      <c r="B17725" s="3" t="str">
        <f>"201511043475"</f>
        <v>201511043475</v>
      </c>
    </row>
    <row r="17726" spans="1:2" x14ac:dyDescent="0.25">
      <c r="A17726" s="4">
        <v>17721</v>
      </c>
      <c r="B17726" s="3" t="str">
        <f>"201511043482"</f>
        <v>201511043482</v>
      </c>
    </row>
    <row r="17727" spans="1:2" x14ac:dyDescent="0.25">
      <c r="A17727" s="4">
        <v>17722</v>
      </c>
      <c r="B17727" s="3" t="str">
        <f>"201511043484"</f>
        <v>201511043484</v>
      </c>
    </row>
    <row r="17728" spans="1:2" x14ac:dyDescent="0.25">
      <c r="A17728" s="4">
        <v>17723</v>
      </c>
      <c r="B17728" s="3" t="str">
        <f>"201511043543"</f>
        <v>201511043543</v>
      </c>
    </row>
    <row r="17729" spans="1:2" x14ac:dyDescent="0.25">
      <c r="A17729" s="4">
        <v>17724</v>
      </c>
      <c r="B17729" s="3" t="str">
        <f>"201511043599"</f>
        <v>201511043599</v>
      </c>
    </row>
    <row r="17730" spans="1:2" x14ac:dyDescent="0.25">
      <c r="A17730" s="4">
        <v>17725</v>
      </c>
      <c r="B17730" s="3" t="str">
        <f>"201511043634"</f>
        <v>201511043634</v>
      </c>
    </row>
    <row r="17731" spans="1:2" x14ac:dyDescent="0.25">
      <c r="A17731" s="4">
        <v>17726</v>
      </c>
      <c r="B17731" s="3" t="str">
        <f>"201511043645"</f>
        <v>201511043645</v>
      </c>
    </row>
    <row r="17732" spans="1:2" x14ac:dyDescent="0.25">
      <c r="A17732" s="4">
        <v>17727</v>
      </c>
      <c r="B17732" s="3" t="str">
        <f>"201511043646"</f>
        <v>201511043646</v>
      </c>
    </row>
    <row r="17733" spans="1:2" x14ac:dyDescent="0.25">
      <c r="A17733" s="4">
        <v>17728</v>
      </c>
      <c r="B17733" s="3" t="str">
        <f>"201512000054"</f>
        <v>201512000054</v>
      </c>
    </row>
    <row r="17734" spans="1:2" x14ac:dyDescent="0.25">
      <c r="A17734" s="4">
        <v>17729</v>
      </c>
      <c r="B17734" s="3" t="str">
        <f>"201512000061"</f>
        <v>201512000061</v>
      </c>
    </row>
    <row r="17735" spans="1:2" x14ac:dyDescent="0.25">
      <c r="A17735" s="4">
        <v>17730</v>
      </c>
      <c r="B17735" s="3" t="str">
        <f>"201512000087"</f>
        <v>201512000087</v>
      </c>
    </row>
    <row r="17736" spans="1:2" x14ac:dyDescent="0.25">
      <c r="A17736" s="4">
        <v>17731</v>
      </c>
      <c r="B17736" s="3" t="str">
        <f>"201512000089"</f>
        <v>201512000089</v>
      </c>
    </row>
    <row r="17737" spans="1:2" x14ac:dyDescent="0.25">
      <c r="A17737" s="4">
        <v>17732</v>
      </c>
      <c r="B17737" s="3" t="str">
        <f>"201512000157"</f>
        <v>201512000157</v>
      </c>
    </row>
    <row r="17738" spans="1:2" x14ac:dyDescent="0.25">
      <c r="A17738" s="4">
        <v>17733</v>
      </c>
      <c r="B17738" s="3" t="str">
        <f>"201512000189"</f>
        <v>201512000189</v>
      </c>
    </row>
    <row r="17739" spans="1:2" x14ac:dyDescent="0.25">
      <c r="A17739" s="4">
        <v>17734</v>
      </c>
      <c r="B17739" s="3" t="str">
        <f>"201512000205"</f>
        <v>201512000205</v>
      </c>
    </row>
    <row r="17740" spans="1:2" x14ac:dyDescent="0.25">
      <c r="A17740" s="4">
        <v>17735</v>
      </c>
      <c r="B17740" s="3" t="str">
        <f>"201512000207"</f>
        <v>201512000207</v>
      </c>
    </row>
    <row r="17741" spans="1:2" x14ac:dyDescent="0.25">
      <c r="A17741" s="4">
        <v>17736</v>
      </c>
      <c r="B17741" s="3" t="str">
        <f>"201512000208"</f>
        <v>201512000208</v>
      </c>
    </row>
    <row r="17742" spans="1:2" x14ac:dyDescent="0.25">
      <c r="A17742" s="4">
        <v>17737</v>
      </c>
      <c r="B17742" s="3" t="str">
        <f>"201512000209"</f>
        <v>201512000209</v>
      </c>
    </row>
    <row r="17743" spans="1:2" x14ac:dyDescent="0.25">
      <c r="A17743" s="4">
        <v>17738</v>
      </c>
      <c r="B17743" s="3" t="str">
        <f>"201512000253"</f>
        <v>201512000253</v>
      </c>
    </row>
    <row r="17744" spans="1:2" x14ac:dyDescent="0.25">
      <c r="A17744" s="4">
        <v>17739</v>
      </c>
      <c r="B17744" s="3" t="str">
        <f>"201512000254"</f>
        <v>201512000254</v>
      </c>
    </row>
    <row r="17745" spans="1:2" x14ac:dyDescent="0.25">
      <c r="A17745" s="4">
        <v>17740</v>
      </c>
      <c r="B17745" s="3" t="str">
        <f>"201512000270"</f>
        <v>201512000270</v>
      </c>
    </row>
    <row r="17746" spans="1:2" x14ac:dyDescent="0.25">
      <c r="A17746" s="4">
        <v>17741</v>
      </c>
      <c r="B17746" s="3" t="str">
        <f>"201512000329"</f>
        <v>201512000329</v>
      </c>
    </row>
    <row r="17747" spans="1:2" x14ac:dyDescent="0.25">
      <c r="A17747" s="4">
        <v>17742</v>
      </c>
      <c r="B17747" s="3" t="str">
        <f>"201512000396"</f>
        <v>201512000396</v>
      </c>
    </row>
    <row r="17748" spans="1:2" x14ac:dyDescent="0.25">
      <c r="A17748" s="4">
        <v>17743</v>
      </c>
      <c r="B17748" s="3" t="str">
        <f>"201512000433"</f>
        <v>201512000433</v>
      </c>
    </row>
    <row r="17749" spans="1:2" x14ac:dyDescent="0.25">
      <c r="A17749" s="4">
        <v>17744</v>
      </c>
      <c r="B17749" s="3" t="str">
        <f>"201512000435"</f>
        <v>201512000435</v>
      </c>
    </row>
    <row r="17750" spans="1:2" x14ac:dyDescent="0.25">
      <c r="A17750" s="4">
        <v>17745</v>
      </c>
      <c r="B17750" s="3" t="str">
        <f>"201512000439"</f>
        <v>201512000439</v>
      </c>
    </row>
    <row r="17751" spans="1:2" x14ac:dyDescent="0.25">
      <c r="A17751" s="4">
        <v>17746</v>
      </c>
      <c r="B17751" s="3" t="str">
        <f>"201512000442"</f>
        <v>201512000442</v>
      </c>
    </row>
    <row r="17752" spans="1:2" x14ac:dyDescent="0.25">
      <c r="A17752" s="4">
        <v>17747</v>
      </c>
      <c r="B17752" s="3" t="str">
        <f>"201512000467"</f>
        <v>201512000467</v>
      </c>
    </row>
    <row r="17753" spans="1:2" x14ac:dyDescent="0.25">
      <c r="A17753" s="4">
        <v>17748</v>
      </c>
      <c r="B17753" s="3" t="str">
        <f>"201512000481"</f>
        <v>201512000481</v>
      </c>
    </row>
    <row r="17754" spans="1:2" x14ac:dyDescent="0.25">
      <c r="A17754" s="4">
        <v>17749</v>
      </c>
      <c r="B17754" s="3" t="str">
        <f>"201512000483"</f>
        <v>201512000483</v>
      </c>
    </row>
    <row r="17755" spans="1:2" x14ac:dyDescent="0.25">
      <c r="A17755" s="4">
        <v>17750</v>
      </c>
      <c r="B17755" s="3" t="str">
        <f>"201512000487"</f>
        <v>201512000487</v>
      </c>
    </row>
    <row r="17756" spans="1:2" x14ac:dyDescent="0.25">
      <c r="A17756" s="4">
        <v>17751</v>
      </c>
      <c r="B17756" s="3" t="str">
        <f>"201512000489"</f>
        <v>201512000489</v>
      </c>
    </row>
    <row r="17757" spans="1:2" x14ac:dyDescent="0.25">
      <c r="A17757" s="4">
        <v>17752</v>
      </c>
      <c r="B17757" s="3" t="str">
        <f>"201512000510"</f>
        <v>201512000510</v>
      </c>
    </row>
    <row r="17758" spans="1:2" x14ac:dyDescent="0.25">
      <c r="A17758" s="4">
        <v>17753</v>
      </c>
      <c r="B17758" s="3" t="str">
        <f>"201512000548"</f>
        <v>201512000548</v>
      </c>
    </row>
    <row r="17759" spans="1:2" x14ac:dyDescent="0.25">
      <c r="A17759" s="4">
        <v>17754</v>
      </c>
      <c r="B17759" s="3" t="str">
        <f>"201512000552"</f>
        <v>201512000552</v>
      </c>
    </row>
    <row r="17760" spans="1:2" x14ac:dyDescent="0.25">
      <c r="A17760" s="4">
        <v>17755</v>
      </c>
      <c r="B17760" s="3" t="str">
        <f>"201512000557"</f>
        <v>201512000557</v>
      </c>
    </row>
    <row r="17761" spans="1:2" x14ac:dyDescent="0.25">
      <c r="A17761" s="4">
        <v>17756</v>
      </c>
      <c r="B17761" s="3" t="str">
        <f>"201512000564"</f>
        <v>201512000564</v>
      </c>
    </row>
    <row r="17762" spans="1:2" x14ac:dyDescent="0.25">
      <c r="A17762" s="4">
        <v>17757</v>
      </c>
      <c r="B17762" s="3" t="str">
        <f>"201512000579"</f>
        <v>201512000579</v>
      </c>
    </row>
    <row r="17763" spans="1:2" x14ac:dyDescent="0.25">
      <c r="A17763" s="4">
        <v>17758</v>
      </c>
      <c r="B17763" s="3" t="str">
        <f>"201512000588"</f>
        <v>201512000588</v>
      </c>
    </row>
    <row r="17764" spans="1:2" x14ac:dyDescent="0.25">
      <c r="A17764" s="4">
        <v>17759</v>
      </c>
      <c r="B17764" s="3" t="str">
        <f>"201512000618"</f>
        <v>201512000618</v>
      </c>
    </row>
    <row r="17765" spans="1:2" x14ac:dyDescent="0.25">
      <c r="A17765" s="4">
        <v>17760</v>
      </c>
      <c r="B17765" s="3" t="str">
        <f>"201512000623"</f>
        <v>201512000623</v>
      </c>
    </row>
    <row r="17766" spans="1:2" x14ac:dyDescent="0.25">
      <c r="A17766" s="4">
        <v>17761</v>
      </c>
      <c r="B17766" s="3" t="str">
        <f>"201512000631"</f>
        <v>201512000631</v>
      </c>
    </row>
    <row r="17767" spans="1:2" x14ac:dyDescent="0.25">
      <c r="A17767" s="4">
        <v>17762</v>
      </c>
      <c r="B17767" s="3" t="str">
        <f>"201512000653"</f>
        <v>201512000653</v>
      </c>
    </row>
    <row r="17768" spans="1:2" x14ac:dyDescent="0.25">
      <c r="A17768" s="4">
        <v>17763</v>
      </c>
      <c r="B17768" s="3" t="str">
        <f>"201512000709"</f>
        <v>201512000709</v>
      </c>
    </row>
    <row r="17769" spans="1:2" x14ac:dyDescent="0.25">
      <c r="A17769" s="4">
        <v>17764</v>
      </c>
      <c r="B17769" s="3" t="str">
        <f>"201512000719"</f>
        <v>201512000719</v>
      </c>
    </row>
    <row r="17770" spans="1:2" x14ac:dyDescent="0.25">
      <c r="A17770" s="4">
        <v>17765</v>
      </c>
      <c r="B17770" s="3" t="str">
        <f>"201512000738"</f>
        <v>201512000738</v>
      </c>
    </row>
    <row r="17771" spans="1:2" x14ac:dyDescent="0.25">
      <c r="A17771" s="4">
        <v>17766</v>
      </c>
      <c r="B17771" s="3" t="str">
        <f>"201512000752"</f>
        <v>201512000752</v>
      </c>
    </row>
    <row r="17772" spans="1:2" x14ac:dyDescent="0.25">
      <c r="A17772" s="4">
        <v>17767</v>
      </c>
      <c r="B17772" s="3" t="str">
        <f>"201512000761"</f>
        <v>201512000761</v>
      </c>
    </row>
    <row r="17773" spans="1:2" x14ac:dyDescent="0.25">
      <c r="A17773" s="4">
        <v>17768</v>
      </c>
      <c r="B17773" s="3" t="str">
        <f>"201512000800"</f>
        <v>201512000800</v>
      </c>
    </row>
    <row r="17774" spans="1:2" x14ac:dyDescent="0.25">
      <c r="A17774" s="4">
        <v>17769</v>
      </c>
      <c r="B17774" s="3" t="str">
        <f>"201512000822"</f>
        <v>201512000822</v>
      </c>
    </row>
    <row r="17775" spans="1:2" x14ac:dyDescent="0.25">
      <c r="A17775" s="4">
        <v>17770</v>
      </c>
      <c r="B17775" s="3" t="str">
        <f>"201512000856"</f>
        <v>201512000856</v>
      </c>
    </row>
    <row r="17776" spans="1:2" x14ac:dyDescent="0.25">
      <c r="A17776" s="4">
        <v>17771</v>
      </c>
      <c r="B17776" s="3" t="str">
        <f>"201512000862"</f>
        <v>201512000862</v>
      </c>
    </row>
    <row r="17777" spans="1:2" x14ac:dyDescent="0.25">
      <c r="A17777" s="4">
        <v>17772</v>
      </c>
      <c r="B17777" s="3" t="str">
        <f>"201512000919"</f>
        <v>201512000919</v>
      </c>
    </row>
    <row r="17778" spans="1:2" x14ac:dyDescent="0.25">
      <c r="A17778" s="4">
        <v>17773</v>
      </c>
      <c r="B17778" s="3" t="str">
        <f>"201512000928"</f>
        <v>201512000928</v>
      </c>
    </row>
    <row r="17779" spans="1:2" x14ac:dyDescent="0.25">
      <c r="A17779" s="4">
        <v>17774</v>
      </c>
      <c r="B17779" s="3" t="str">
        <f>"201512000939"</f>
        <v>201512000939</v>
      </c>
    </row>
    <row r="17780" spans="1:2" x14ac:dyDescent="0.25">
      <c r="A17780" s="4">
        <v>17775</v>
      </c>
      <c r="B17780" s="3" t="str">
        <f>"201512000953"</f>
        <v>201512000953</v>
      </c>
    </row>
    <row r="17781" spans="1:2" x14ac:dyDescent="0.25">
      <c r="A17781" s="4">
        <v>17776</v>
      </c>
      <c r="B17781" s="3" t="str">
        <f>"201512000987"</f>
        <v>201512000987</v>
      </c>
    </row>
    <row r="17782" spans="1:2" x14ac:dyDescent="0.25">
      <c r="A17782" s="4">
        <v>17777</v>
      </c>
      <c r="B17782" s="3" t="str">
        <f>"201512000995"</f>
        <v>201512000995</v>
      </c>
    </row>
    <row r="17783" spans="1:2" x14ac:dyDescent="0.25">
      <c r="A17783" s="4">
        <v>17778</v>
      </c>
      <c r="B17783" s="3" t="str">
        <f>"201512001016"</f>
        <v>201512001016</v>
      </c>
    </row>
    <row r="17784" spans="1:2" x14ac:dyDescent="0.25">
      <c r="A17784" s="4">
        <v>17779</v>
      </c>
      <c r="B17784" s="3" t="str">
        <f>"201512001026"</f>
        <v>201512001026</v>
      </c>
    </row>
    <row r="17785" spans="1:2" x14ac:dyDescent="0.25">
      <c r="A17785" s="4">
        <v>17780</v>
      </c>
      <c r="B17785" s="3" t="str">
        <f>"201512001036"</f>
        <v>201512001036</v>
      </c>
    </row>
    <row r="17786" spans="1:2" x14ac:dyDescent="0.25">
      <c r="A17786" s="4">
        <v>17781</v>
      </c>
      <c r="B17786" s="3" t="str">
        <f>"201512001062"</f>
        <v>201512001062</v>
      </c>
    </row>
    <row r="17787" spans="1:2" x14ac:dyDescent="0.25">
      <c r="A17787" s="4">
        <v>17782</v>
      </c>
      <c r="B17787" s="3" t="str">
        <f>"201512001088"</f>
        <v>201512001088</v>
      </c>
    </row>
    <row r="17788" spans="1:2" x14ac:dyDescent="0.25">
      <c r="A17788" s="4">
        <v>17783</v>
      </c>
      <c r="B17788" s="3" t="str">
        <f>"201512001089"</f>
        <v>201512001089</v>
      </c>
    </row>
    <row r="17789" spans="1:2" x14ac:dyDescent="0.25">
      <c r="A17789" s="4">
        <v>17784</v>
      </c>
      <c r="B17789" s="3" t="str">
        <f>"201512001131"</f>
        <v>201512001131</v>
      </c>
    </row>
    <row r="17790" spans="1:2" x14ac:dyDescent="0.25">
      <c r="A17790" s="4">
        <v>17785</v>
      </c>
      <c r="B17790" s="3" t="str">
        <f>"201512001156"</f>
        <v>201512001156</v>
      </c>
    </row>
    <row r="17791" spans="1:2" x14ac:dyDescent="0.25">
      <c r="A17791" s="4">
        <v>17786</v>
      </c>
      <c r="B17791" s="3" t="str">
        <f>"201512001165"</f>
        <v>201512001165</v>
      </c>
    </row>
    <row r="17792" spans="1:2" x14ac:dyDescent="0.25">
      <c r="A17792" s="4">
        <v>17787</v>
      </c>
      <c r="B17792" s="3" t="str">
        <f>"201512001208"</f>
        <v>201512001208</v>
      </c>
    </row>
    <row r="17793" spans="1:2" x14ac:dyDescent="0.25">
      <c r="A17793" s="4">
        <v>17788</v>
      </c>
      <c r="B17793" s="3" t="str">
        <f>"201512001235"</f>
        <v>201512001235</v>
      </c>
    </row>
    <row r="17794" spans="1:2" x14ac:dyDescent="0.25">
      <c r="A17794" s="4">
        <v>17789</v>
      </c>
      <c r="B17794" s="3" t="str">
        <f>"201512001254"</f>
        <v>201512001254</v>
      </c>
    </row>
    <row r="17795" spans="1:2" x14ac:dyDescent="0.25">
      <c r="A17795" s="4">
        <v>17790</v>
      </c>
      <c r="B17795" s="3" t="str">
        <f>"201512001263"</f>
        <v>201512001263</v>
      </c>
    </row>
    <row r="17796" spans="1:2" x14ac:dyDescent="0.25">
      <c r="A17796" s="4">
        <v>17791</v>
      </c>
      <c r="B17796" s="3" t="str">
        <f>"201512001264"</f>
        <v>201512001264</v>
      </c>
    </row>
    <row r="17797" spans="1:2" x14ac:dyDescent="0.25">
      <c r="A17797" s="4">
        <v>17792</v>
      </c>
      <c r="B17797" s="3" t="str">
        <f>"201512001292"</f>
        <v>201512001292</v>
      </c>
    </row>
    <row r="17798" spans="1:2" x14ac:dyDescent="0.25">
      <c r="A17798" s="4">
        <v>17793</v>
      </c>
      <c r="B17798" s="3" t="str">
        <f>"201512001303"</f>
        <v>201512001303</v>
      </c>
    </row>
    <row r="17799" spans="1:2" x14ac:dyDescent="0.25">
      <c r="A17799" s="4">
        <v>17794</v>
      </c>
      <c r="B17799" s="3" t="str">
        <f>"201512001313"</f>
        <v>201512001313</v>
      </c>
    </row>
    <row r="17800" spans="1:2" x14ac:dyDescent="0.25">
      <c r="A17800" s="4">
        <v>17795</v>
      </c>
      <c r="B17800" s="3" t="str">
        <f>"201512001340"</f>
        <v>201512001340</v>
      </c>
    </row>
    <row r="17801" spans="1:2" x14ac:dyDescent="0.25">
      <c r="A17801" s="4">
        <v>17796</v>
      </c>
      <c r="B17801" s="3" t="str">
        <f>"201512001345"</f>
        <v>201512001345</v>
      </c>
    </row>
    <row r="17802" spans="1:2" x14ac:dyDescent="0.25">
      <c r="A17802" s="4">
        <v>17797</v>
      </c>
      <c r="B17802" s="3" t="str">
        <f>"201512001348"</f>
        <v>201512001348</v>
      </c>
    </row>
    <row r="17803" spans="1:2" x14ac:dyDescent="0.25">
      <c r="A17803" s="4">
        <v>17798</v>
      </c>
      <c r="B17803" s="3" t="str">
        <f>"201512001368"</f>
        <v>201512001368</v>
      </c>
    </row>
    <row r="17804" spans="1:2" x14ac:dyDescent="0.25">
      <c r="A17804" s="4">
        <v>17799</v>
      </c>
      <c r="B17804" s="3" t="str">
        <f>"201512001371"</f>
        <v>201512001371</v>
      </c>
    </row>
    <row r="17805" spans="1:2" x14ac:dyDescent="0.25">
      <c r="A17805" s="4">
        <v>17800</v>
      </c>
      <c r="B17805" s="3" t="str">
        <f>"201512001420"</f>
        <v>201512001420</v>
      </c>
    </row>
    <row r="17806" spans="1:2" x14ac:dyDescent="0.25">
      <c r="A17806" s="4">
        <v>17801</v>
      </c>
      <c r="B17806" s="3" t="str">
        <f>"201512001564"</f>
        <v>201512001564</v>
      </c>
    </row>
    <row r="17807" spans="1:2" x14ac:dyDescent="0.25">
      <c r="A17807" s="4">
        <v>17802</v>
      </c>
      <c r="B17807" s="3" t="str">
        <f>"201512001584"</f>
        <v>201512001584</v>
      </c>
    </row>
    <row r="17808" spans="1:2" x14ac:dyDescent="0.25">
      <c r="A17808" s="4">
        <v>17803</v>
      </c>
      <c r="B17808" s="3" t="str">
        <f>"201512001589"</f>
        <v>201512001589</v>
      </c>
    </row>
    <row r="17809" spans="1:2" x14ac:dyDescent="0.25">
      <c r="A17809" s="4">
        <v>17804</v>
      </c>
      <c r="B17809" s="3" t="str">
        <f>"201512001619"</f>
        <v>201512001619</v>
      </c>
    </row>
    <row r="17810" spans="1:2" x14ac:dyDescent="0.25">
      <c r="A17810" s="4">
        <v>17805</v>
      </c>
      <c r="B17810" s="3" t="str">
        <f>"201512001638"</f>
        <v>201512001638</v>
      </c>
    </row>
    <row r="17811" spans="1:2" x14ac:dyDescent="0.25">
      <c r="A17811" s="4">
        <v>17806</v>
      </c>
      <c r="B17811" s="3" t="str">
        <f>"201512001644"</f>
        <v>201512001644</v>
      </c>
    </row>
    <row r="17812" spans="1:2" x14ac:dyDescent="0.25">
      <c r="A17812" s="4">
        <v>17807</v>
      </c>
      <c r="B17812" s="3" t="str">
        <f>"201512001662"</f>
        <v>201512001662</v>
      </c>
    </row>
    <row r="17813" spans="1:2" x14ac:dyDescent="0.25">
      <c r="A17813" s="4">
        <v>17808</v>
      </c>
      <c r="B17813" s="3" t="str">
        <f>"201512001694"</f>
        <v>201512001694</v>
      </c>
    </row>
    <row r="17814" spans="1:2" x14ac:dyDescent="0.25">
      <c r="A17814" s="4">
        <v>17809</v>
      </c>
      <c r="B17814" s="3" t="str">
        <f>"201512001706"</f>
        <v>201512001706</v>
      </c>
    </row>
    <row r="17815" spans="1:2" x14ac:dyDescent="0.25">
      <c r="A17815" s="4">
        <v>17810</v>
      </c>
      <c r="B17815" s="3" t="str">
        <f>"201512001724"</f>
        <v>201512001724</v>
      </c>
    </row>
    <row r="17816" spans="1:2" x14ac:dyDescent="0.25">
      <c r="A17816" s="4">
        <v>17811</v>
      </c>
      <c r="B17816" s="3" t="str">
        <f>"201512001734"</f>
        <v>201512001734</v>
      </c>
    </row>
    <row r="17817" spans="1:2" x14ac:dyDescent="0.25">
      <c r="A17817" s="4">
        <v>17812</v>
      </c>
      <c r="B17817" s="3" t="str">
        <f>"201512001785"</f>
        <v>201512001785</v>
      </c>
    </row>
    <row r="17818" spans="1:2" x14ac:dyDescent="0.25">
      <c r="A17818" s="4">
        <v>17813</v>
      </c>
      <c r="B17818" s="3" t="str">
        <f>"201512001786"</f>
        <v>201512001786</v>
      </c>
    </row>
    <row r="17819" spans="1:2" x14ac:dyDescent="0.25">
      <c r="A17819" s="4">
        <v>17814</v>
      </c>
      <c r="B17819" s="3" t="str">
        <f>"201512001809"</f>
        <v>201512001809</v>
      </c>
    </row>
    <row r="17820" spans="1:2" x14ac:dyDescent="0.25">
      <c r="A17820" s="4">
        <v>17815</v>
      </c>
      <c r="B17820" s="3" t="str">
        <f>"201512001812"</f>
        <v>201512001812</v>
      </c>
    </row>
    <row r="17821" spans="1:2" x14ac:dyDescent="0.25">
      <c r="A17821" s="4">
        <v>17816</v>
      </c>
      <c r="B17821" s="3" t="str">
        <f>"201512001846"</f>
        <v>201512001846</v>
      </c>
    </row>
    <row r="17822" spans="1:2" x14ac:dyDescent="0.25">
      <c r="A17822" s="4">
        <v>17817</v>
      </c>
      <c r="B17822" s="3" t="str">
        <f>"201512001880"</f>
        <v>201512001880</v>
      </c>
    </row>
    <row r="17823" spans="1:2" x14ac:dyDescent="0.25">
      <c r="A17823" s="4">
        <v>17818</v>
      </c>
      <c r="B17823" s="3" t="str">
        <f>"201512001911"</f>
        <v>201512001911</v>
      </c>
    </row>
    <row r="17824" spans="1:2" x14ac:dyDescent="0.25">
      <c r="A17824" s="4">
        <v>17819</v>
      </c>
      <c r="B17824" s="3" t="str">
        <f>"201512001965"</f>
        <v>201512001965</v>
      </c>
    </row>
    <row r="17825" spans="1:2" x14ac:dyDescent="0.25">
      <c r="A17825" s="4">
        <v>17820</v>
      </c>
      <c r="B17825" s="3" t="str">
        <f>"201512002038"</f>
        <v>201512002038</v>
      </c>
    </row>
    <row r="17826" spans="1:2" x14ac:dyDescent="0.25">
      <c r="A17826" s="4">
        <v>17821</v>
      </c>
      <c r="B17826" s="3" t="str">
        <f>"201512002268"</f>
        <v>201512002268</v>
      </c>
    </row>
    <row r="17827" spans="1:2" x14ac:dyDescent="0.25">
      <c r="A17827" s="4">
        <v>17822</v>
      </c>
      <c r="B17827" s="3" t="str">
        <f>"201512002275"</f>
        <v>201512002275</v>
      </c>
    </row>
    <row r="17828" spans="1:2" x14ac:dyDescent="0.25">
      <c r="A17828" s="4">
        <v>17823</v>
      </c>
      <c r="B17828" s="3" t="str">
        <f>"201512002340"</f>
        <v>201512002340</v>
      </c>
    </row>
    <row r="17829" spans="1:2" x14ac:dyDescent="0.25">
      <c r="A17829" s="4">
        <v>17824</v>
      </c>
      <c r="B17829" s="3" t="str">
        <f>"201512002345"</f>
        <v>201512002345</v>
      </c>
    </row>
    <row r="17830" spans="1:2" x14ac:dyDescent="0.25">
      <c r="A17830" s="4">
        <v>17825</v>
      </c>
      <c r="B17830" s="3" t="str">
        <f>"201512002408"</f>
        <v>201512002408</v>
      </c>
    </row>
    <row r="17831" spans="1:2" x14ac:dyDescent="0.25">
      <c r="A17831" s="4">
        <v>17826</v>
      </c>
      <c r="B17831" s="3" t="str">
        <f>"201512002475"</f>
        <v>201512002475</v>
      </c>
    </row>
    <row r="17832" spans="1:2" x14ac:dyDescent="0.25">
      <c r="A17832" s="4">
        <v>17827</v>
      </c>
      <c r="B17832" s="3" t="str">
        <f>"201512002530"</f>
        <v>201512002530</v>
      </c>
    </row>
    <row r="17833" spans="1:2" x14ac:dyDescent="0.25">
      <c r="A17833" s="4">
        <v>17828</v>
      </c>
      <c r="B17833" s="3" t="str">
        <f>"201512002531"</f>
        <v>201512002531</v>
      </c>
    </row>
    <row r="17834" spans="1:2" x14ac:dyDescent="0.25">
      <c r="A17834" s="4">
        <v>17829</v>
      </c>
      <c r="B17834" s="3" t="str">
        <f>"201512002651"</f>
        <v>201512002651</v>
      </c>
    </row>
    <row r="17835" spans="1:2" x14ac:dyDescent="0.25">
      <c r="A17835" s="4">
        <v>17830</v>
      </c>
      <c r="B17835" s="3" t="str">
        <f>"201512002711"</f>
        <v>201512002711</v>
      </c>
    </row>
    <row r="17836" spans="1:2" x14ac:dyDescent="0.25">
      <c r="A17836" s="4">
        <v>17831</v>
      </c>
      <c r="B17836" s="3" t="str">
        <f>"201512002788"</f>
        <v>201512002788</v>
      </c>
    </row>
    <row r="17837" spans="1:2" x14ac:dyDescent="0.25">
      <c r="A17837" s="4">
        <v>17832</v>
      </c>
      <c r="B17837" s="3" t="str">
        <f>"201512002792"</f>
        <v>201512002792</v>
      </c>
    </row>
    <row r="17838" spans="1:2" x14ac:dyDescent="0.25">
      <c r="A17838" s="4">
        <v>17833</v>
      </c>
      <c r="B17838" s="3" t="str">
        <f>"201512002850"</f>
        <v>201512002850</v>
      </c>
    </row>
    <row r="17839" spans="1:2" x14ac:dyDescent="0.25">
      <c r="A17839" s="4">
        <v>17834</v>
      </c>
      <c r="B17839" s="3" t="str">
        <f>"201512002861"</f>
        <v>201512002861</v>
      </c>
    </row>
    <row r="17840" spans="1:2" x14ac:dyDescent="0.25">
      <c r="A17840" s="4">
        <v>17835</v>
      </c>
      <c r="B17840" s="3" t="str">
        <f>"201512002885"</f>
        <v>201512002885</v>
      </c>
    </row>
    <row r="17841" spans="1:2" x14ac:dyDescent="0.25">
      <c r="A17841" s="4">
        <v>17836</v>
      </c>
      <c r="B17841" s="3" t="str">
        <f>"201512002892"</f>
        <v>201512002892</v>
      </c>
    </row>
    <row r="17842" spans="1:2" x14ac:dyDescent="0.25">
      <c r="A17842" s="4">
        <v>17837</v>
      </c>
      <c r="B17842" s="3" t="str">
        <f>"201512002903"</f>
        <v>201512002903</v>
      </c>
    </row>
    <row r="17843" spans="1:2" x14ac:dyDescent="0.25">
      <c r="A17843" s="4">
        <v>17838</v>
      </c>
      <c r="B17843" s="3" t="str">
        <f>"201512002917"</f>
        <v>201512002917</v>
      </c>
    </row>
    <row r="17844" spans="1:2" x14ac:dyDescent="0.25">
      <c r="A17844" s="4">
        <v>17839</v>
      </c>
      <c r="B17844" s="3" t="str">
        <f>"201512002919"</f>
        <v>201512002919</v>
      </c>
    </row>
    <row r="17845" spans="1:2" x14ac:dyDescent="0.25">
      <c r="A17845" s="4">
        <v>17840</v>
      </c>
      <c r="B17845" s="3" t="str">
        <f>"201512002951"</f>
        <v>201512002951</v>
      </c>
    </row>
    <row r="17846" spans="1:2" x14ac:dyDescent="0.25">
      <c r="A17846" s="4">
        <v>17841</v>
      </c>
      <c r="B17846" s="3" t="str">
        <f>"201512002952"</f>
        <v>201512002952</v>
      </c>
    </row>
    <row r="17847" spans="1:2" x14ac:dyDescent="0.25">
      <c r="A17847" s="4">
        <v>17842</v>
      </c>
      <c r="B17847" s="3" t="str">
        <f>"201512003071"</f>
        <v>201512003071</v>
      </c>
    </row>
    <row r="17848" spans="1:2" x14ac:dyDescent="0.25">
      <c r="A17848" s="4">
        <v>17843</v>
      </c>
      <c r="B17848" s="3" t="str">
        <f>"201512003079"</f>
        <v>201512003079</v>
      </c>
    </row>
    <row r="17849" spans="1:2" x14ac:dyDescent="0.25">
      <c r="A17849" s="4">
        <v>17844</v>
      </c>
      <c r="B17849" s="3" t="str">
        <f>"201512003092"</f>
        <v>201512003092</v>
      </c>
    </row>
    <row r="17850" spans="1:2" x14ac:dyDescent="0.25">
      <c r="A17850" s="4">
        <v>17845</v>
      </c>
      <c r="B17850" s="3" t="str">
        <f>"201512003093"</f>
        <v>201512003093</v>
      </c>
    </row>
    <row r="17851" spans="1:2" x14ac:dyDescent="0.25">
      <c r="A17851" s="4">
        <v>17846</v>
      </c>
      <c r="B17851" s="3" t="str">
        <f>"201512003345"</f>
        <v>201512003345</v>
      </c>
    </row>
    <row r="17852" spans="1:2" x14ac:dyDescent="0.25">
      <c r="A17852" s="4">
        <v>17847</v>
      </c>
      <c r="B17852" s="3" t="str">
        <f>"201512003493"</f>
        <v>201512003493</v>
      </c>
    </row>
    <row r="17853" spans="1:2" x14ac:dyDescent="0.25">
      <c r="A17853" s="4">
        <v>17848</v>
      </c>
      <c r="B17853" s="3" t="str">
        <f>"201512003646"</f>
        <v>201512003646</v>
      </c>
    </row>
    <row r="17854" spans="1:2" x14ac:dyDescent="0.25">
      <c r="A17854" s="4">
        <v>17849</v>
      </c>
      <c r="B17854" s="3" t="str">
        <f>"201512003771"</f>
        <v>201512003771</v>
      </c>
    </row>
    <row r="17855" spans="1:2" x14ac:dyDescent="0.25">
      <c r="A17855" s="4">
        <v>17850</v>
      </c>
      <c r="B17855" s="3" t="str">
        <f>"201512003816"</f>
        <v>201512003816</v>
      </c>
    </row>
    <row r="17856" spans="1:2" x14ac:dyDescent="0.25">
      <c r="A17856" s="4">
        <v>17851</v>
      </c>
      <c r="B17856" s="3" t="str">
        <f>"201512003929"</f>
        <v>201512003929</v>
      </c>
    </row>
    <row r="17857" spans="1:2" x14ac:dyDescent="0.25">
      <c r="A17857" s="4">
        <v>17852</v>
      </c>
      <c r="B17857" s="3" t="str">
        <f>"201512004046"</f>
        <v>201512004046</v>
      </c>
    </row>
    <row r="17858" spans="1:2" x14ac:dyDescent="0.25">
      <c r="A17858" s="4">
        <v>17853</v>
      </c>
      <c r="B17858" s="3" t="str">
        <f>"201512004074"</f>
        <v>201512004074</v>
      </c>
    </row>
    <row r="17859" spans="1:2" x14ac:dyDescent="0.25">
      <c r="A17859" s="4">
        <v>17854</v>
      </c>
      <c r="B17859" s="3" t="str">
        <f>"201512004127"</f>
        <v>201512004127</v>
      </c>
    </row>
    <row r="17860" spans="1:2" x14ac:dyDescent="0.25">
      <c r="A17860" s="4">
        <v>17855</v>
      </c>
      <c r="B17860" s="3" t="str">
        <f>"201512004195"</f>
        <v>201512004195</v>
      </c>
    </row>
    <row r="17861" spans="1:2" x14ac:dyDescent="0.25">
      <c r="A17861" s="4">
        <v>17856</v>
      </c>
      <c r="B17861" s="3" t="str">
        <f>"201512004245"</f>
        <v>201512004245</v>
      </c>
    </row>
    <row r="17862" spans="1:2" x14ac:dyDescent="0.25">
      <c r="A17862" s="4">
        <v>17857</v>
      </c>
      <c r="B17862" s="3" t="str">
        <f>"201512004262"</f>
        <v>201512004262</v>
      </c>
    </row>
    <row r="17863" spans="1:2" x14ac:dyDescent="0.25">
      <c r="A17863" s="4">
        <v>17858</v>
      </c>
      <c r="B17863" s="3" t="str">
        <f>"201512004268"</f>
        <v>201512004268</v>
      </c>
    </row>
    <row r="17864" spans="1:2" x14ac:dyDescent="0.25">
      <c r="A17864" s="4">
        <v>17859</v>
      </c>
      <c r="B17864" s="3" t="str">
        <f>"201512004319"</f>
        <v>201512004319</v>
      </c>
    </row>
    <row r="17865" spans="1:2" x14ac:dyDescent="0.25">
      <c r="A17865" s="4">
        <v>17860</v>
      </c>
      <c r="B17865" s="3" t="str">
        <f>"201512004416"</f>
        <v>201512004416</v>
      </c>
    </row>
    <row r="17866" spans="1:2" x14ac:dyDescent="0.25">
      <c r="A17866" s="4">
        <v>17861</v>
      </c>
      <c r="B17866" s="3" t="str">
        <f>"201512004451"</f>
        <v>201512004451</v>
      </c>
    </row>
    <row r="17867" spans="1:2" x14ac:dyDescent="0.25">
      <c r="A17867" s="4">
        <v>17862</v>
      </c>
      <c r="B17867" s="3" t="str">
        <f>"201512004466"</f>
        <v>201512004466</v>
      </c>
    </row>
    <row r="17868" spans="1:2" x14ac:dyDescent="0.25">
      <c r="A17868" s="4">
        <v>17863</v>
      </c>
      <c r="B17868" s="3" t="str">
        <f>"201512004499"</f>
        <v>201512004499</v>
      </c>
    </row>
    <row r="17869" spans="1:2" x14ac:dyDescent="0.25">
      <c r="A17869" s="4">
        <v>17864</v>
      </c>
      <c r="B17869" s="3" t="str">
        <f>"201512004546"</f>
        <v>201512004546</v>
      </c>
    </row>
    <row r="17870" spans="1:2" x14ac:dyDescent="0.25">
      <c r="A17870" s="4">
        <v>17865</v>
      </c>
      <c r="B17870" s="3" t="str">
        <f>"201512004565"</f>
        <v>201512004565</v>
      </c>
    </row>
    <row r="17871" spans="1:2" x14ac:dyDescent="0.25">
      <c r="A17871" s="4">
        <v>17866</v>
      </c>
      <c r="B17871" s="3" t="str">
        <f>"201512004591"</f>
        <v>201512004591</v>
      </c>
    </row>
    <row r="17872" spans="1:2" x14ac:dyDescent="0.25">
      <c r="A17872" s="4">
        <v>17867</v>
      </c>
      <c r="B17872" s="3" t="str">
        <f>"201512004674"</f>
        <v>201512004674</v>
      </c>
    </row>
    <row r="17873" spans="1:2" x14ac:dyDescent="0.25">
      <c r="A17873" s="4">
        <v>17868</v>
      </c>
      <c r="B17873" s="3" t="str">
        <f>"201512004713"</f>
        <v>201512004713</v>
      </c>
    </row>
    <row r="17874" spans="1:2" x14ac:dyDescent="0.25">
      <c r="A17874" s="4">
        <v>17869</v>
      </c>
      <c r="B17874" s="3" t="str">
        <f>"201512004794"</f>
        <v>201512004794</v>
      </c>
    </row>
    <row r="17875" spans="1:2" x14ac:dyDescent="0.25">
      <c r="A17875" s="4">
        <v>17870</v>
      </c>
      <c r="B17875" s="3" t="str">
        <f>"201512004878"</f>
        <v>201512004878</v>
      </c>
    </row>
    <row r="17876" spans="1:2" x14ac:dyDescent="0.25">
      <c r="A17876" s="4">
        <v>17871</v>
      </c>
      <c r="B17876" s="3" t="str">
        <f>"201512004887"</f>
        <v>201512004887</v>
      </c>
    </row>
    <row r="17877" spans="1:2" x14ac:dyDescent="0.25">
      <c r="A17877" s="4">
        <v>17872</v>
      </c>
      <c r="B17877" s="3" t="str">
        <f>"201512004965"</f>
        <v>201512004965</v>
      </c>
    </row>
    <row r="17878" spans="1:2" x14ac:dyDescent="0.25">
      <c r="A17878" s="4">
        <v>17873</v>
      </c>
      <c r="B17878" s="3" t="str">
        <f>"201512005051"</f>
        <v>201512005051</v>
      </c>
    </row>
    <row r="17879" spans="1:2" x14ac:dyDescent="0.25">
      <c r="A17879" s="4">
        <v>17874</v>
      </c>
      <c r="B17879" s="3" t="str">
        <f>"201512005185"</f>
        <v>201512005185</v>
      </c>
    </row>
    <row r="17880" spans="1:2" x14ac:dyDescent="0.25">
      <c r="A17880" s="4">
        <v>17875</v>
      </c>
      <c r="B17880" s="3" t="str">
        <f>"201512005288"</f>
        <v>201512005288</v>
      </c>
    </row>
    <row r="17881" spans="1:2" x14ac:dyDescent="0.25">
      <c r="A17881" s="4">
        <v>17876</v>
      </c>
      <c r="B17881" s="3" t="str">
        <f>"201512005323"</f>
        <v>201512005323</v>
      </c>
    </row>
    <row r="17882" spans="1:2" x14ac:dyDescent="0.25">
      <c r="A17882" s="4">
        <v>17877</v>
      </c>
      <c r="B17882" s="3" t="str">
        <f>"201512005449"</f>
        <v>201512005449</v>
      </c>
    </row>
    <row r="17883" spans="1:2" x14ac:dyDescent="0.25">
      <c r="A17883" s="4">
        <v>17878</v>
      </c>
      <c r="B17883" s="3" t="str">
        <f>"201512005452"</f>
        <v>201512005452</v>
      </c>
    </row>
    <row r="17884" spans="1:2" x14ac:dyDescent="0.25">
      <c r="A17884" s="4">
        <v>17879</v>
      </c>
      <c r="B17884" s="3" t="str">
        <f>"201512005471"</f>
        <v>201512005471</v>
      </c>
    </row>
    <row r="17885" spans="1:2" x14ac:dyDescent="0.25">
      <c r="A17885" s="4">
        <v>17880</v>
      </c>
      <c r="B17885" s="3" t="str">
        <f>"201512005518"</f>
        <v>201512005518</v>
      </c>
    </row>
    <row r="17886" spans="1:2" x14ac:dyDescent="0.25">
      <c r="A17886" s="4">
        <v>17881</v>
      </c>
      <c r="B17886" s="3" t="str">
        <f>"201512005524"</f>
        <v>201512005524</v>
      </c>
    </row>
    <row r="17887" spans="1:2" x14ac:dyDescent="0.25">
      <c r="A17887" s="4">
        <v>17882</v>
      </c>
      <c r="B17887" s="3" t="str">
        <f>"201512005541"</f>
        <v>201512005541</v>
      </c>
    </row>
    <row r="17888" spans="1:2" x14ac:dyDescent="0.25">
      <c r="A17888" s="4">
        <v>17883</v>
      </c>
      <c r="B17888" s="3" t="str">
        <f>"201512005586"</f>
        <v>201512005586</v>
      </c>
    </row>
    <row r="17889" spans="1:2" x14ac:dyDescent="0.25">
      <c r="A17889" s="4">
        <v>17884</v>
      </c>
      <c r="B17889" s="3" t="str">
        <f>"201601000001"</f>
        <v>201601000001</v>
      </c>
    </row>
    <row r="17890" spans="1:2" x14ac:dyDescent="0.25">
      <c r="A17890" s="4">
        <v>17885</v>
      </c>
      <c r="B17890" s="3" t="str">
        <f>"201601000212"</f>
        <v>201601000212</v>
      </c>
    </row>
    <row r="17891" spans="1:2" x14ac:dyDescent="0.25">
      <c r="A17891" s="4">
        <v>17886</v>
      </c>
      <c r="B17891" s="3" t="str">
        <f>"201601000296"</f>
        <v>201601000296</v>
      </c>
    </row>
    <row r="17892" spans="1:2" x14ac:dyDescent="0.25">
      <c r="A17892" s="4">
        <v>17887</v>
      </c>
      <c r="B17892" s="3" t="str">
        <f>"201601000386"</f>
        <v>201601000386</v>
      </c>
    </row>
    <row r="17893" spans="1:2" x14ac:dyDescent="0.25">
      <c r="A17893" s="4">
        <v>17888</v>
      </c>
      <c r="B17893" s="3" t="str">
        <f>"201601000417"</f>
        <v>201601000417</v>
      </c>
    </row>
    <row r="17894" spans="1:2" x14ac:dyDescent="0.25">
      <c r="A17894" s="4">
        <v>17889</v>
      </c>
      <c r="B17894" s="3" t="str">
        <f>"201601000486"</f>
        <v>201601000486</v>
      </c>
    </row>
    <row r="17895" spans="1:2" x14ac:dyDescent="0.25">
      <c r="A17895" s="4">
        <v>17890</v>
      </c>
      <c r="B17895" s="3" t="str">
        <f>"201601000657"</f>
        <v>201601000657</v>
      </c>
    </row>
    <row r="17896" spans="1:2" x14ac:dyDescent="0.25">
      <c r="A17896" s="4">
        <v>17891</v>
      </c>
      <c r="B17896" s="3" t="str">
        <f>"201601001199"</f>
        <v>201601001199</v>
      </c>
    </row>
    <row r="17897" spans="1:2" x14ac:dyDescent="0.25">
      <c r="A17897" s="4">
        <v>17892</v>
      </c>
      <c r="B17897" s="3" t="str">
        <f>"201601001356"</f>
        <v>201601001356</v>
      </c>
    </row>
    <row r="17898" spans="1:2" x14ac:dyDescent="0.25">
      <c r="A17898" s="4">
        <v>17893</v>
      </c>
      <c r="B17898" s="3" t="str">
        <f>"201601001431"</f>
        <v>201601001431</v>
      </c>
    </row>
    <row r="17899" spans="1:2" x14ac:dyDescent="0.25">
      <c r="A17899" s="4">
        <v>17894</v>
      </c>
      <c r="B17899" s="3" t="str">
        <f>"201602000026"</f>
        <v>201602000026</v>
      </c>
    </row>
    <row r="17900" spans="1:2" x14ac:dyDescent="0.25">
      <c r="A17900" s="4">
        <v>17895</v>
      </c>
      <c r="B17900" s="3" t="str">
        <f>"201602000247"</f>
        <v>201602000247</v>
      </c>
    </row>
    <row r="17901" spans="1:2" x14ac:dyDescent="0.25">
      <c r="A17901" s="4">
        <v>17896</v>
      </c>
      <c r="B17901" s="3" t="str">
        <f>"201602000348"</f>
        <v>201602000348</v>
      </c>
    </row>
    <row r="17902" spans="1:2" x14ac:dyDescent="0.25">
      <c r="A17902" s="4">
        <v>17897</v>
      </c>
      <c r="B17902" s="3" t="str">
        <f>"201603000075"</f>
        <v>201603000075</v>
      </c>
    </row>
    <row r="17903" spans="1:2" x14ac:dyDescent="0.25">
      <c r="A17903" s="4">
        <v>17898</v>
      </c>
      <c r="B17903" s="3" t="str">
        <f>"201603000266"</f>
        <v>201603000266</v>
      </c>
    </row>
    <row r="17904" spans="1:2" x14ac:dyDescent="0.25">
      <c r="A17904" s="4">
        <v>17899</v>
      </c>
      <c r="B17904" s="3" t="str">
        <f>"201603000321"</f>
        <v>201603000321</v>
      </c>
    </row>
    <row r="17905" spans="1:2" x14ac:dyDescent="0.25">
      <c r="A17905" s="4">
        <v>17900</v>
      </c>
      <c r="B17905" s="3" t="str">
        <f>"201603000353"</f>
        <v>201603000353</v>
      </c>
    </row>
    <row r="17906" spans="1:2" x14ac:dyDescent="0.25">
      <c r="A17906" s="4">
        <v>17901</v>
      </c>
      <c r="B17906" s="3" t="str">
        <f>"201603000365"</f>
        <v>201603000365</v>
      </c>
    </row>
    <row r="17907" spans="1:2" x14ac:dyDescent="0.25">
      <c r="A17907" s="4">
        <v>17902</v>
      </c>
      <c r="B17907" s="3" t="str">
        <f>"201603000375"</f>
        <v>201603000375</v>
      </c>
    </row>
    <row r="17908" spans="1:2" x14ac:dyDescent="0.25">
      <c r="A17908" s="4">
        <v>17903</v>
      </c>
      <c r="B17908" s="3" t="str">
        <f>"201603000526"</f>
        <v>201603000526</v>
      </c>
    </row>
    <row r="17909" spans="1:2" x14ac:dyDescent="0.25">
      <c r="A17909" s="4">
        <v>17904</v>
      </c>
      <c r="B17909" s="3" t="str">
        <f>"201603000577"</f>
        <v>201603000577</v>
      </c>
    </row>
    <row r="17910" spans="1:2" x14ac:dyDescent="0.25">
      <c r="A17910" s="4">
        <v>17905</v>
      </c>
      <c r="B17910" s="3" t="str">
        <f>"201603000579"</f>
        <v>201603000579</v>
      </c>
    </row>
    <row r="17911" spans="1:2" x14ac:dyDescent="0.25">
      <c r="A17911" s="4">
        <v>17906</v>
      </c>
      <c r="B17911" s="3" t="str">
        <f>"201604000026"</f>
        <v>201604000026</v>
      </c>
    </row>
    <row r="17912" spans="1:2" x14ac:dyDescent="0.25">
      <c r="A17912" s="4">
        <v>17907</v>
      </c>
      <c r="B17912" s="3" t="str">
        <f>"201604000101"</f>
        <v>201604000101</v>
      </c>
    </row>
    <row r="17913" spans="1:2" x14ac:dyDescent="0.25">
      <c r="A17913" s="4">
        <v>17908</v>
      </c>
      <c r="B17913" s="3" t="str">
        <f>"201604000199"</f>
        <v>201604000199</v>
      </c>
    </row>
    <row r="17914" spans="1:2" x14ac:dyDescent="0.25">
      <c r="A17914" s="4">
        <v>17909</v>
      </c>
      <c r="B17914" s="3" t="str">
        <f>"201604000260"</f>
        <v>201604000260</v>
      </c>
    </row>
    <row r="17915" spans="1:2" x14ac:dyDescent="0.25">
      <c r="A17915" s="4">
        <v>17910</v>
      </c>
      <c r="B17915" s="3" t="str">
        <f>"201604000283"</f>
        <v>201604000283</v>
      </c>
    </row>
    <row r="17916" spans="1:2" x14ac:dyDescent="0.25">
      <c r="A17916" s="4">
        <v>17911</v>
      </c>
      <c r="B17916" s="3" t="str">
        <f>"201604000317"</f>
        <v>201604000317</v>
      </c>
    </row>
    <row r="17917" spans="1:2" x14ac:dyDescent="0.25">
      <c r="A17917" s="4">
        <v>17912</v>
      </c>
      <c r="B17917" s="3" t="str">
        <f>"201604000407"</f>
        <v>201604000407</v>
      </c>
    </row>
    <row r="17918" spans="1:2" x14ac:dyDescent="0.25">
      <c r="A17918" s="4">
        <v>17913</v>
      </c>
      <c r="B17918" s="3" t="str">
        <f>"201604000715"</f>
        <v>201604000715</v>
      </c>
    </row>
    <row r="17919" spans="1:2" x14ac:dyDescent="0.25">
      <c r="A17919" s="4">
        <v>17914</v>
      </c>
      <c r="B17919" s="3" t="str">
        <f>"201604000774"</f>
        <v>201604000774</v>
      </c>
    </row>
    <row r="17920" spans="1:2" x14ac:dyDescent="0.25">
      <c r="A17920" s="4">
        <v>17915</v>
      </c>
      <c r="B17920" s="3" t="str">
        <f>"201604000848"</f>
        <v>201604000848</v>
      </c>
    </row>
    <row r="17921" spans="1:2" x14ac:dyDescent="0.25">
      <c r="A17921" s="4">
        <v>17916</v>
      </c>
      <c r="B17921" s="3" t="str">
        <f>"201604001136"</f>
        <v>201604001136</v>
      </c>
    </row>
    <row r="17922" spans="1:2" x14ac:dyDescent="0.25">
      <c r="A17922" s="4">
        <v>17917</v>
      </c>
      <c r="B17922" s="3" t="str">
        <f>"201604001147"</f>
        <v>201604001147</v>
      </c>
    </row>
    <row r="17923" spans="1:2" x14ac:dyDescent="0.25">
      <c r="A17923" s="4">
        <v>17918</v>
      </c>
      <c r="B17923" s="3" t="str">
        <f>"201604001261"</f>
        <v>201604001261</v>
      </c>
    </row>
    <row r="17924" spans="1:2" x14ac:dyDescent="0.25">
      <c r="A17924" s="4">
        <v>17919</v>
      </c>
      <c r="B17924" s="3" t="str">
        <f>"201604001263"</f>
        <v>201604001263</v>
      </c>
    </row>
    <row r="17925" spans="1:2" x14ac:dyDescent="0.25">
      <c r="A17925" s="4">
        <v>17920</v>
      </c>
      <c r="B17925" s="3" t="str">
        <f>"201604001295"</f>
        <v>201604001295</v>
      </c>
    </row>
    <row r="17926" spans="1:2" x14ac:dyDescent="0.25">
      <c r="A17926" s="4">
        <v>17921</v>
      </c>
      <c r="B17926" s="3" t="str">
        <f>"201604001389"</f>
        <v>201604001389</v>
      </c>
    </row>
    <row r="17927" spans="1:2" x14ac:dyDescent="0.25">
      <c r="A17927" s="4">
        <v>17922</v>
      </c>
      <c r="B17927" s="3" t="str">
        <f>"201604001408"</f>
        <v>201604001408</v>
      </c>
    </row>
    <row r="17928" spans="1:2" x14ac:dyDescent="0.25">
      <c r="A17928" s="4">
        <v>17923</v>
      </c>
      <c r="B17928" s="3" t="str">
        <f>"201604001518"</f>
        <v>201604001518</v>
      </c>
    </row>
    <row r="17929" spans="1:2" x14ac:dyDescent="0.25">
      <c r="A17929" s="4">
        <v>17924</v>
      </c>
      <c r="B17929" s="3" t="str">
        <f>"201604001583"</f>
        <v>201604001583</v>
      </c>
    </row>
    <row r="17930" spans="1:2" x14ac:dyDescent="0.25">
      <c r="A17930" s="4">
        <v>17925</v>
      </c>
      <c r="B17930" s="3" t="str">
        <f>"201604001591"</f>
        <v>201604001591</v>
      </c>
    </row>
    <row r="17931" spans="1:2" x14ac:dyDescent="0.25">
      <c r="A17931" s="4">
        <v>17926</v>
      </c>
      <c r="B17931" s="3" t="str">
        <f>"201604001626"</f>
        <v>201604001626</v>
      </c>
    </row>
    <row r="17932" spans="1:2" x14ac:dyDescent="0.25">
      <c r="A17932" s="4">
        <v>17927</v>
      </c>
      <c r="B17932" s="3" t="str">
        <f>"201604001631"</f>
        <v>201604001631</v>
      </c>
    </row>
    <row r="17933" spans="1:2" x14ac:dyDescent="0.25">
      <c r="A17933" s="4">
        <v>17928</v>
      </c>
      <c r="B17933" s="3" t="str">
        <f>"201604001734"</f>
        <v>201604001734</v>
      </c>
    </row>
    <row r="17934" spans="1:2" x14ac:dyDescent="0.25">
      <c r="A17934" s="4">
        <v>17929</v>
      </c>
      <c r="B17934" s="3" t="str">
        <f>"201604001735"</f>
        <v>201604001735</v>
      </c>
    </row>
    <row r="17935" spans="1:2" x14ac:dyDescent="0.25">
      <c r="A17935" s="4">
        <v>17930</v>
      </c>
      <c r="B17935" s="3" t="str">
        <f>"201604001765"</f>
        <v>201604001765</v>
      </c>
    </row>
    <row r="17936" spans="1:2" x14ac:dyDescent="0.25">
      <c r="A17936" s="4">
        <v>17931</v>
      </c>
      <c r="B17936" s="3" t="str">
        <f>"201604001850"</f>
        <v>201604001850</v>
      </c>
    </row>
    <row r="17937" spans="1:2" x14ac:dyDescent="0.25">
      <c r="A17937" s="4">
        <v>17932</v>
      </c>
      <c r="B17937" s="3" t="str">
        <f>"201604001852"</f>
        <v>201604001852</v>
      </c>
    </row>
    <row r="17938" spans="1:2" x14ac:dyDescent="0.25">
      <c r="A17938" s="4">
        <v>17933</v>
      </c>
      <c r="B17938" s="3" t="str">
        <f>"201604001875"</f>
        <v>201604001875</v>
      </c>
    </row>
    <row r="17939" spans="1:2" x14ac:dyDescent="0.25">
      <c r="A17939" s="4">
        <v>17934</v>
      </c>
      <c r="B17939" s="3" t="str">
        <f>"201604002153"</f>
        <v>201604002153</v>
      </c>
    </row>
    <row r="17940" spans="1:2" x14ac:dyDescent="0.25">
      <c r="A17940" s="4">
        <v>17935</v>
      </c>
      <c r="B17940" s="3" t="str">
        <f>"201604002237"</f>
        <v>201604002237</v>
      </c>
    </row>
    <row r="17941" spans="1:2" x14ac:dyDescent="0.25">
      <c r="A17941" s="4">
        <v>17936</v>
      </c>
      <c r="B17941" s="3" t="str">
        <f>"201604002347"</f>
        <v>201604002347</v>
      </c>
    </row>
    <row r="17942" spans="1:2" x14ac:dyDescent="0.25">
      <c r="A17942" s="4">
        <v>17937</v>
      </c>
      <c r="B17942" s="3" t="str">
        <f>"201604002358"</f>
        <v>201604002358</v>
      </c>
    </row>
    <row r="17943" spans="1:2" x14ac:dyDescent="0.25">
      <c r="A17943" s="4">
        <v>17938</v>
      </c>
      <c r="B17943" s="3" t="str">
        <f>"201604002395"</f>
        <v>201604002395</v>
      </c>
    </row>
    <row r="17944" spans="1:2" x14ac:dyDescent="0.25">
      <c r="A17944" s="4">
        <v>17939</v>
      </c>
      <c r="B17944" s="3" t="str">
        <f>"201604002469"</f>
        <v>201604002469</v>
      </c>
    </row>
    <row r="17945" spans="1:2" x14ac:dyDescent="0.25">
      <c r="A17945" s="4">
        <v>17940</v>
      </c>
      <c r="B17945" s="3" t="str">
        <f>"201604002488"</f>
        <v>201604002488</v>
      </c>
    </row>
    <row r="17946" spans="1:2" x14ac:dyDescent="0.25">
      <c r="A17946" s="4">
        <v>17941</v>
      </c>
      <c r="B17946" s="3" t="str">
        <f>"201604002671"</f>
        <v>201604002671</v>
      </c>
    </row>
    <row r="17947" spans="1:2" x14ac:dyDescent="0.25">
      <c r="A17947" s="4">
        <v>17942</v>
      </c>
      <c r="B17947" s="3" t="str">
        <f>"201604002731"</f>
        <v>201604002731</v>
      </c>
    </row>
    <row r="17948" spans="1:2" x14ac:dyDescent="0.25">
      <c r="A17948" s="4">
        <v>17943</v>
      </c>
      <c r="B17948" s="3" t="str">
        <f>"201604002779"</f>
        <v>201604002779</v>
      </c>
    </row>
    <row r="17949" spans="1:2" x14ac:dyDescent="0.25">
      <c r="A17949" s="4">
        <v>17944</v>
      </c>
      <c r="B17949" s="3" t="str">
        <f>"201604002786"</f>
        <v>201604002786</v>
      </c>
    </row>
    <row r="17950" spans="1:2" x14ac:dyDescent="0.25">
      <c r="A17950" s="4">
        <v>17945</v>
      </c>
      <c r="B17950" s="3" t="str">
        <f>"201604003225"</f>
        <v>201604003225</v>
      </c>
    </row>
    <row r="17951" spans="1:2" x14ac:dyDescent="0.25">
      <c r="A17951" s="4">
        <v>17946</v>
      </c>
      <c r="B17951" s="3" t="str">
        <f>"201604003300"</f>
        <v>201604003300</v>
      </c>
    </row>
    <row r="17952" spans="1:2" x14ac:dyDescent="0.25">
      <c r="A17952" s="4">
        <v>17947</v>
      </c>
      <c r="B17952" s="3" t="str">
        <f>"201604003392"</f>
        <v>201604003392</v>
      </c>
    </row>
    <row r="17953" spans="1:2" x14ac:dyDescent="0.25">
      <c r="A17953" s="4">
        <v>17948</v>
      </c>
      <c r="B17953" s="3" t="str">
        <f>"201604003399"</f>
        <v>201604003399</v>
      </c>
    </row>
    <row r="17954" spans="1:2" x14ac:dyDescent="0.25">
      <c r="A17954" s="4">
        <v>17949</v>
      </c>
      <c r="B17954" s="3" t="str">
        <f>"201604003472"</f>
        <v>201604003472</v>
      </c>
    </row>
    <row r="17955" spans="1:2" x14ac:dyDescent="0.25">
      <c r="A17955" s="4">
        <v>17950</v>
      </c>
      <c r="B17955" s="3" t="str">
        <f>"201604003476"</f>
        <v>201604003476</v>
      </c>
    </row>
    <row r="17956" spans="1:2" x14ac:dyDescent="0.25">
      <c r="A17956" s="4">
        <v>17951</v>
      </c>
      <c r="B17956" s="3" t="str">
        <f>"201604003552"</f>
        <v>201604003552</v>
      </c>
    </row>
    <row r="17957" spans="1:2" x14ac:dyDescent="0.25">
      <c r="A17957" s="4">
        <v>17952</v>
      </c>
      <c r="B17957" s="3" t="str">
        <f>"201604003762"</f>
        <v>201604003762</v>
      </c>
    </row>
    <row r="17958" spans="1:2" x14ac:dyDescent="0.25">
      <c r="A17958" s="4">
        <v>17953</v>
      </c>
      <c r="B17958" s="3" t="str">
        <f>"201604003785"</f>
        <v>201604003785</v>
      </c>
    </row>
    <row r="17959" spans="1:2" x14ac:dyDescent="0.25">
      <c r="A17959" s="4">
        <v>17954</v>
      </c>
      <c r="B17959" s="3" t="str">
        <f>"201604003875"</f>
        <v>201604003875</v>
      </c>
    </row>
    <row r="17960" spans="1:2" x14ac:dyDescent="0.25">
      <c r="A17960" s="4">
        <v>17955</v>
      </c>
      <c r="B17960" s="3" t="str">
        <f>"201604003955"</f>
        <v>201604003955</v>
      </c>
    </row>
    <row r="17961" spans="1:2" x14ac:dyDescent="0.25">
      <c r="A17961" s="4">
        <v>17956</v>
      </c>
      <c r="B17961" s="3" t="str">
        <f>"201604003977"</f>
        <v>201604003977</v>
      </c>
    </row>
    <row r="17962" spans="1:2" x14ac:dyDescent="0.25">
      <c r="A17962" s="4">
        <v>17957</v>
      </c>
      <c r="B17962" s="3" t="str">
        <f>"201604004061"</f>
        <v>201604004061</v>
      </c>
    </row>
    <row r="17963" spans="1:2" x14ac:dyDescent="0.25">
      <c r="A17963" s="4">
        <v>17958</v>
      </c>
      <c r="B17963" s="3" t="str">
        <f>"201604004066"</f>
        <v>201604004066</v>
      </c>
    </row>
    <row r="17964" spans="1:2" x14ac:dyDescent="0.25">
      <c r="A17964" s="4">
        <v>17959</v>
      </c>
      <c r="B17964" s="3" t="str">
        <f>"201604004097"</f>
        <v>201604004097</v>
      </c>
    </row>
    <row r="17965" spans="1:2" x14ac:dyDescent="0.25">
      <c r="A17965" s="4">
        <v>17960</v>
      </c>
      <c r="B17965" s="3" t="str">
        <f>"201604004146"</f>
        <v>201604004146</v>
      </c>
    </row>
    <row r="17966" spans="1:2" x14ac:dyDescent="0.25">
      <c r="A17966" s="4">
        <v>17961</v>
      </c>
      <c r="B17966" s="3" t="str">
        <f>"201604004158"</f>
        <v>201604004158</v>
      </c>
    </row>
    <row r="17967" spans="1:2" x14ac:dyDescent="0.25">
      <c r="A17967" s="4">
        <v>17962</v>
      </c>
      <c r="B17967" s="3" t="str">
        <f>"201604004217"</f>
        <v>201604004217</v>
      </c>
    </row>
    <row r="17968" spans="1:2" x14ac:dyDescent="0.25">
      <c r="A17968" s="4">
        <v>17963</v>
      </c>
      <c r="B17968" s="3" t="str">
        <f>"201604004257"</f>
        <v>201604004257</v>
      </c>
    </row>
    <row r="17969" spans="1:2" x14ac:dyDescent="0.25">
      <c r="A17969" s="4">
        <v>17964</v>
      </c>
      <c r="B17969" s="3" t="str">
        <f>"201604004277"</f>
        <v>201604004277</v>
      </c>
    </row>
    <row r="17970" spans="1:2" x14ac:dyDescent="0.25">
      <c r="A17970" s="4">
        <v>17965</v>
      </c>
      <c r="B17970" s="3" t="str">
        <f>"201604004284"</f>
        <v>201604004284</v>
      </c>
    </row>
    <row r="17971" spans="1:2" x14ac:dyDescent="0.25">
      <c r="A17971" s="4">
        <v>17966</v>
      </c>
      <c r="B17971" s="3" t="str">
        <f>"201604004419"</f>
        <v>201604004419</v>
      </c>
    </row>
    <row r="17972" spans="1:2" x14ac:dyDescent="0.25">
      <c r="A17972" s="4">
        <v>17967</v>
      </c>
      <c r="B17972" s="3" t="str">
        <f>"201604004483"</f>
        <v>201604004483</v>
      </c>
    </row>
    <row r="17973" spans="1:2" x14ac:dyDescent="0.25">
      <c r="A17973" s="4">
        <v>17968</v>
      </c>
      <c r="B17973" s="3" t="str">
        <f>"201604004489"</f>
        <v>201604004489</v>
      </c>
    </row>
    <row r="17974" spans="1:2" x14ac:dyDescent="0.25">
      <c r="A17974" s="4">
        <v>17969</v>
      </c>
      <c r="B17974" s="3" t="str">
        <f>"201604004540"</f>
        <v>201604004540</v>
      </c>
    </row>
    <row r="17975" spans="1:2" x14ac:dyDescent="0.25">
      <c r="A17975" s="4">
        <v>17970</v>
      </c>
      <c r="B17975" s="3" t="str">
        <f>"201604004544"</f>
        <v>201604004544</v>
      </c>
    </row>
    <row r="17976" spans="1:2" x14ac:dyDescent="0.25">
      <c r="A17976" s="4">
        <v>17971</v>
      </c>
      <c r="B17976" s="3" t="str">
        <f>"201604004747"</f>
        <v>201604004747</v>
      </c>
    </row>
    <row r="17977" spans="1:2" x14ac:dyDescent="0.25">
      <c r="A17977" s="4">
        <v>17972</v>
      </c>
      <c r="B17977" s="3" t="str">
        <f>"201604004802"</f>
        <v>201604004802</v>
      </c>
    </row>
    <row r="17978" spans="1:2" x14ac:dyDescent="0.25">
      <c r="A17978" s="4">
        <v>17973</v>
      </c>
      <c r="B17978" s="3" t="str">
        <f>"201604004993"</f>
        <v>201604004993</v>
      </c>
    </row>
    <row r="17979" spans="1:2" x14ac:dyDescent="0.25">
      <c r="A17979" s="4">
        <v>17974</v>
      </c>
      <c r="B17979" s="3" t="str">
        <f>"201604005024"</f>
        <v>201604005024</v>
      </c>
    </row>
    <row r="17980" spans="1:2" x14ac:dyDescent="0.25">
      <c r="A17980" s="4">
        <v>17975</v>
      </c>
      <c r="B17980" s="3" t="str">
        <f>"201604005080"</f>
        <v>201604005080</v>
      </c>
    </row>
    <row r="17981" spans="1:2" x14ac:dyDescent="0.25">
      <c r="A17981" s="4">
        <v>17976</v>
      </c>
      <c r="B17981" s="3" t="str">
        <f>"201604005136"</f>
        <v>201604005136</v>
      </c>
    </row>
    <row r="17982" spans="1:2" x14ac:dyDescent="0.25">
      <c r="A17982" s="4">
        <v>17977</v>
      </c>
      <c r="B17982" s="3" t="str">
        <f>"201604005184"</f>
        <v>201604005184</v>
      </c>
    </row>
    <row r="17983" spans="1:2" x14ac:dyDescent="0.25">
      <c r="A17983" s="4">
        <v>17978</v>
      </c>
      <c r="B17983" s="3" t="str">
        <f>"201604005223"</f>
        <v>201604005223</v>
      </c>
    </row>
    <row r="17984" spans="1:2" x14ac:dyDescent="0.25">
      <c r="A17984" s="4">
        <v>17979</v>
      </c>
      <c r="B17984" s="3" t="str">
        <f>"201604005380"</f>
        <v>201604005380</v>
      </c>
    </row>
    <row r="17985" spans="1:2" x14ac:dyDescent="0.25">
      <c r="A17985" s="4">
        <v>17980</v>
      </c>
      <c r="B17985" s="3" t="str">
        <f>"201604005388"</f>
        <v>201604005388</v>
      </c>
    </row>
    <row r="17986" spans="1:2" x14ac:dyDescent="0.25">
      <c r="A17986" s="4">
        <v>17981</v>
      </c>
      <c r="B17986" s="3" t="str">
        <f>"201604005408"</f>
        <v>201604005408</v>
      </c>
    </row>
    <row r="17987" spans="1:2" x14ac:dyDescent="0.25">
      <c r="A17987" s="4">
        <v>17982</v>
      </c>
      <c r="B17987" s="3" t="str">
        <f>"201604005477"</f>
        <v>201604005477</v>
      </c>
    </row>
    <row r="17988" spans="1:2" x14ac:dyDescent="0.25">
      <c r="A17988" s="4">
        <v>17983</v>
      </c>
      <c r="B17988" s="3" t="str">
        <f>"201604005510"</f>
        <v>201604005510</v>
      </c>
    </row>
    <row r="17989" spans="1:2" x14ac:dyDescent="0.25">
      <c r="A17989" s="4">
        <v>17984</v>
      </c>
      <c r="B17989" s="3" t="str">
        <f>"201604005841"</f>
        <v>201604005841</v>
      </c>
    </row>
    <row r="17990" spans="1:2" x14ac:dyDescent="0.25">
      <c r="A17990" s="4">
        <v>17985</v>
      </c>
      <c r="B17990" s="3" t="str">
        <f>"201604005990"</f>
        <v>201604005990</v>
      </c>
    </row>
    <row r="17991" spans="1:2" ht="15" customHeight="1" x14ac:dyDescent="0.25">
      <c r="A17991" s="4">
        <v>17986</v>
      </c>
      <c r="B17991" s="3" t="str">
        <f>"201604006112"</f>
        <v>201604006112</v>
      </c>
    </row>
    <row r="17992" spans="1:2" ht="15" customHeight="1" x14ac:dyDescent="0.25">
      <c r="A17992" s="4">
        <v>17987</v>
      </c>
      <c r="B17992" s="3" t="str">
        <f>"201604006157"</f>
        <v>201604006157</v>
      </c>
    </row>
    <row r="17993" spans="1:2" x14ac:dyDescent="0.25">
      <c r="A17993" s="4">
        <v>17988</v>
      </c>
      <c r="B17993" s="3" t="str">
        <f>"201604006218"</f>
        <v>201604006218</v>
      </c>
    </row>
    <row r="17994" spans="1:2" x14ac:dyDescent="0.25">
      <c r="A17994" s="4">
        <v>17989</v>
      </c>
      <c r="B17994" s="3" t="str">
        <f>"201604006273"</f>
        <v>201604006273</v>
      </c>
    </row>
    <row r="17995" spans="1:2" x14ac:dyDescent="0.25">
      <c r="A17995" s="4">
        <v>17990</v>
      </c>
      <c r="B17995" s="3" t="str">
        <f>"201604006274"</f>
        <v>201604006274</v>
      </c>
    </row>
    <row r="17996" spans="1:2" x14ac:dyDescent="0.25">
      <c r="A17996" s="4">
        <v>17991</v>
      </c>
      <c r="B17996" s="3" t="str">
        <f>"201604006297"</f>
        <v>201604006297</v>
      </c>
    </row>
    <row r="17997" spans="1:2" x14ac:dyDescent="0.25">
      <c r="A17997" s="4">
        <v>17992</v>
      </c>
      <c r="B17997" s="3" t="str">
        <f>"201604006350"</f>
        <v>201604006350</v>
      </c>
    </row>
    <row r="17998" spans="1:2" x14ac:dyDescent="0.25">
      <c r="A17998" s="4">
        <v>17993</v>
      </c>
      <c r="B17998" s="3" t="str">
        <f>"201604006368"</f>
        <v>201604006368</v>
      </c>
    </row>
    <row r="17999" spans="1:2" x14ac:dyDescent="0.25">
      <c r="A17999" s="4">
        <v>17994</v>
      </c>
      <c r="B17999" s="3" t="str">
        <f>"201604006392"</f>
        <v>201604006392</v>
      </c>
    </row>
    <row r="18000" spans="1:2" x14ac:dyDescent="0.25">
      <c r="A18000" s="4">
        <v>17995</v>
      </c>
      <c r="B18000" s="3" t="str">
        <f>"201605000158"</f>
        <v>201605000158</v>
      </c>
    </row>
    <row r="18001" spans="1:2" x14ac:dyDescent="0.25">
      <c r="A18001" s="4">
        <v>17996</v>
      </c>
      <c r="B18001" s="3" t="str">
        <f>"201605000176"</f>
        <v>201605000176</v>
      </c>
    </row>
    <row r="18002" spans="1:2" x14ac:dyDescent="0.25">
      <c r="A18002" s="4">
        <v>17997</v>
      </c>
      <c r="B18002" s="3" t="str">
        <f>"201606000055"</f>
        <v>201606000055</v>
      </c>
    </row>
    <row r="18003" spans="1:2" x14ac:dyDescent="0.25">
      <c r="A18003" s="4">
        <v>17998</v>
      </c>
      <c r="B18003" s="3" t="str">
        <f>"201607121045"</f>
        <v>201607121045</v>
      </c>
    </row>
    <row r="18004" spans="1:2" x14ac:dyDescent="0.25">
      <c r="A18004" s="4">
        <v>17999</v>
      </c>
      <c r="B18004" s="3" t="str">
        <f>"201607121165"</f>
        <v>201607121165</v>
      </c>
    </row>
  </sheetData>
  <sortState ref="A6:B18004">
    <sortCondition ref="B6:B18004"/>
  </sortState>
  <mergeCells count="2">
    <mergeCell ref="A3:B3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</vt:lpstr>
      <vt:lpstr>ΤΕ</vt:lpstr>
      <vt:lpstr>ΔΕ ΥΕ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2021-01-04T17:50:17Z</dcterms:modified>
</cp:coreProperties>
</file>